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C:\Users\sally\Documents\2025\OCP\OB Disaster_Charter\"/>
    </mc:Choice>
  </mc:AlternateContent>
  <xr:revisionPtr revIDLastSave="0" documentId="13_ncr:1_{0A968041-1BB7-496B-A229-9289E25D18FA}" xr6:coauthVersionLast="47" xr6:coauthVersionMax="47" xr10:uidLastSave="{00000000-0000-0000-0000-000000000000}"/>
  <bookViews>
    <workbookView xWindow="-120" yWindow="-120" windowWidth="20730" windowHeight="11160" activeTab="2" xr2:uid="{CD5D6915-1B14-4124-923A-EADD72BCEC0A}"/>
  </bookViews>
  <sheets>
    <sheet name="KUC Banaba Church" sheetId="1" r:id="rId1"/>
    <sheet name="CM Terikiai Maneaba" sheetId="2" r:id="rId2"/>
    <sheet name="KUC Tekatana Seawal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1" l="1"/>
  <c r="G6" i="1"/>
  <c r="G5" i="1"/>
  <c r="F5" i="1"/>
  <c r="F5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G10" i="3"/>
  <c r="F10" i="3"/>
  <c r="G9" i="3"/>
  <c r="F9" i="3"/>
  <c r="G8" i="3"/>
  <c r="F8" i="3"/>
  <c r="G7" i="3"/>
  <c r="F7" i="3"/>
  <c r="G6" i="3"/>
  <c r="F6" i="3"/>
  <c r="G5" i="3"/>
  <c r="G4" i="3"/>
  <c r="F4" i="3"/>
  <c r="G3" i="3"/>
  <c r="F3" i="3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G23" i="2"/>
  <c r="F23" i="2"/>
  <c r="G22" i="2"/>
  <c r="F22" i="2"/>
  <c r="G21" i="2"/>
  <c r="F21" i="2"/>
  <c r="G20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G13" i="2"/>
  <c r="F13" i="2"/>
  <c r="G12" i="2"/>
  <c r="F12" i="2"/>
  <c r="G11" i="2"/>
  <c r="F11" i="2"/>
  <c r="G10" i="2"/>
  <c r="F10" i="2"/>
  <c r="G9" i="2"/>
  <c r="F9" i="2"/>
  <c r="G8" i="2"/>
  <c r="F8" i="2"/>
  <c r="G7" i="2"/>
  <c r="F7" i="2"/>
  <c r="G6" i="2"/>
  <c r="F6" i="2"/>
  <c r="G5" i="2"/>
  <c r="F5" i="2"/>
  <c r="G4" i="2"/>
  <c r="F4" i="2"/>
  <c r="G3" i="2"/>
  <c r="F3" i="2"/>
  <c r="G2" i="2"/>
  <c r="G33" i="2" s="1"/>
  <c r="F2" i="2"/>
  <c r="G83" i="1"/>
  <c r="F83" i="1"/>
  <c r="G82" i="1"/>
  <c r="F82" i="1"/>
  <c r="G79" i="1"/>
  <c r="F79" i="1"/>
  <c r="G76" i="1"/>
  <c r="F76" i="1"/>
  <c r="G75" i="1"/>
  <c r="F75" i="1"/>
  <c r="G74" i="1"/>
  <c r="F74" i="1"/>
  <c r="G72" i="1"/>
  <c r="F72" i="1"/>
  <c r="G71" i="1"/>
  <c r="F71" i="1"/>
  <c r="G69" i="1"/>
  <c r="F69" i="1"/>
  <c r="G31" i="1"/>
  <c r="F31" i="1"/>
  <c r="G48" i="1"/>
  <c r="F48" i="1"/>
  <c r="G46" i="1"/>
  <c r="F46" i="1"/>
  <c r="G44" i="1"/>
  <c r="F44" i="1"/>
  <c r="G43" i="1"/>
  <c r="F43" i="1"/>
  <c r="G54" i="1"/>
  <c r="F54" i="1"/>
  <c r="G53" i="1"/>
  <c r="F53" i="1"/>
  <c r="G59" i="1"/>
  <c r="F59" i="1"/>
  <c r="G58" i="1"/>
  <c r="F58" i="1"/>
  <c r="G57" i="1"/>
  <c r="F57" i="1"/>
  <c r="G89" i="1"/>
  <c r="F89" i="1"/>
  <c r="G88" i="1"/>
  <c r="F88" i="1"/>
  <c r="G87" i="1"/>
  <c r="F87" i="1"/>
  <c r="G86" i="1"/>
  <c r="F86" i="1"/>
  <c r="G85" i="1"/>
  <c r="F85" i="1"/>
  <c r="G84" i="1"/>
  <c r="F84" i="1"/>
  <c r="G81" i="1"/>
  <c r="F81" i="1"/>
  <c r="G105" i="1"/>
  <c r="F105" i="1"/>
  <c r="G104" i="1"/>
  <c r="F104" i="1"/>
  <c r="G103" i="1"/>
  <c r="F103" i="1"/>
  <c r="G111" i="1"/>
  <c r="F111" i="1"/>
  <c r="G28" i="1"/>
  <c r="F28" i="1"/>
  <c r="G27" i="1"/>
  <c r="F27" i="1"/>
  <c r="G26" i="1"/>
  <c r="F26" i="1"/>
  <c r="G25" i="1"/>
  <c r="F25" i="1"/>
  <c r="G24" i="1"/>
  <c r="F24" i="1"/>
  <c r="G23" i="1"/>
  <c r="F23" i="1"/>
  <c r="G22" i="1"/>
  <c r="F22" i="1"/>
  <c r="G19" i="1"/>
  <c r="F19" i="1"/>
  <c r="G16" i="1"/>
  <c r="F16" i="1"/>
  <c r="G15" i="1"/>
  <c r="F15" i="1"/>
  <c r="G10" i="1"/>
  <c r="F10" i="1"/>
  <c r="F6" i="1"/>
  <c r="G52" i="1"/>
  <c r="F52" i="1"/>
  <c r="G94" i="1"/>
  <c r="F94" i="1"/>
  <c r="G93" i="1"/>
  <c r="F93" i="1"/>
  <c r="G92" i="1"/>
  <c r="F92" i="1"/>
  <c r="G108" i="1"/>
  <c r="F108" i="1"/>
  <c r="G110" i="1"/>
  <c r="F110" i="1"/>
  <c r="G109" i="1"/>
  <c r="F109" i="1"/>
  <c r="G102" i="1"/>
  <c r="F102" i="1"/>
  <c r="G101" i="1"/>
  <c r="F101" i="1"/>
  <c r="G100" i="1"/>
  <c r="F100" i="1"/>
  <c r="G99" i="1"/>
  <c r="F99" i="1"/>
  <c r="G98" i="1"/>
  <c r="F98" i="1"/>
  <c r="G97" i="1"/>
  <c r="F97" i="1"/>
  <c r="G80" i="1"/>
  <c r="F80" i="1"/>
  <c r="G73" i="1"/>
  <c r="F73" i="1"/>
  <c r="G70" i="1"/>
  <c r="F70" i="1"/>
  <c r="G68" i="1"/>
  <c r="F68" i="1"/>
  <c r="G67" i="1"/>
  <c r="F67" i="1"/>
  <c r="G66" i="1"/>
  <c r="F66" i="1"/>
  <c r="G65" i="1"/>
  <c r="F65" i="1"/>
  <c r="G63" i="1"/>
  <c r="F63" i="1"/>
  <c r="G62" i="1"/>
  <c r="F62" i="1"/>
  <c r="G51" i="1"/>
  <c r="F51" i="1"/>
  <c r="G47" i="1"/>
  <c r="F47" i="1"/>
  <c r="G45" i="1"/>
  <c r="F45" i="1"/>
  <c r="G42" i="1"/>
  <c r="F42" i="1"/>
  <c r="G41" i="1"/>
  <c r="F41" i="1"/>
  <c r="G40" i="1"/>
  <c r="F40" i="1"/>
  <c r="G39" i="1"/>
  <c r="F39" i="1"/>
  <c r="G37" i="1"/>
  <c r="F37" i="1"/>
  <c r="G34" i="1"/>
  <c r="F34" i="1"/>
  <c r="G14" i="1"/>
  <c r="F14" i="1"/>
  <c r="G13" i="1"/>
  <c r="F13" i="1"/>
  <c r="G112" i="1"/>
  <c r="F9" i="1"/>
  <c r="G20" i="3" l="1"/>
</calcChain>
</file>

<file path=xl/sharedStrings.xml><?xml version="1.0" encoding="utf-8"?>
<sst xmlns="http://schemas.openxmlformats.org/spreadsheetml/2006/main" count="292" uniqueCount="179">
  <si>
    <t>Item</t>
  </si>
  <si>
    <t>Quantity</t>
  </si>
  <si>
    <t>Unit</t>
  </si>
  <si>
    <t>40 Kg Portland Cement</t>
  </si>
  <si>
    <t>Bags</t>
  </si>
  <si>
    <t>12mm dia H.D bolt with nut and washers</t>
  </si>
  <si>
    <t>Each</t>
  </si>
  <si>
    <t>Concrete Works</t>
  </si>
  <si>
    <t>Formworks</t>
  </si>
  <si>
    <r>
      <t>Formply 2.4</t>
    </r>
    <r>
      <rPr>
        <sz val="11"/>
        <color theme="1"/>
        <rFont val="Aptos Narrow"/>
        <family val="2"/>
      </rPr>
      <t>×1.2m per sheet</t>
    </r>
  </si>
  <si>
    <t>Sheet</t>
  </si>
  <si>
    <t xml:space="preserve">Pine Timber 2×2×5.8m </t>
  </si>
  <si>
    <t>Length</t>
  </si>
  <si>
    <t>Nail 4"</t>
  </si>
  <si>
    <t>Kg</t>
  </si>
  <si>
    <t>Nail 2"</t>
  </si>
  <si>
    <t>Damp Proof Sheeting</t>
  </si>
  <si>
    <t>Polythene</t>
  </si>
  <si>
    <t>Roll</t>
  </si>
  <si>
    <t>Reinforcing Steel</t>
  </si>
  <si>
    <t>Deformed 10mm diameter reinforcing bar</t>
  </si>
  <si>
    <t>Reinforcing rod 6mm diameter stirrup</t>
  </si>
  <si>
    <t>Deformed 12mm reinforcing bar starter bar</t>
  </si>
  <si>
    <t>Deformed 10mm reinforcing bar in bond beam</t>
  </si>
  <si>
    <t>Reinforcing rod 6mm diameter</t>
  </si>
  <si>
    <t>Mesh Wire (2.3×5.8×2mm)</t>
  </si>
  <si>
    <t>Tie Wire</t>
  </si>
  <si>
    <t>Blockwork</t>
  </si>
  <si>
    <t>200×200×400mm Block</t>
  </si>
  <si>
    <t>nos</t>
  </si>
  <si>
    <t>Metal Work</t>
  </si>
  <si>
    <t>Triplegrip Steel Connector</t>
  </si>
  <si>
    <t>Metal Window and Doors</t>
  </si>
  <si>
    <t>Louver Frame 10 Blades</t>
  </si>
  <si>
    <t>Pair</t>
  </si>
  <si>
    <t>Carpentry</t>
  </si>
  <si>
    <t>Laminated Pine Timber 100×50×5800</t>
  </si>
  <si>
    <t>U bracket bowmac post</t>
  </si>
  <si>
    <t>Pine Timber 4×2×5.8m</t>
  </si>
  <si>
    <t>S Strap for diagonal bracing</t>
  </si>
  <si>
    <t>Meter</t>
  </si>
  <si>
    <t>Flat Head Nail 1"</t>
  </si>
  <si>
    <t>Marine Plywood 2.4×1.2×12mm thick</t>
  </si>
  <si>
    <t>Nail 3"</t>
  </si>
  <si>
    <t>Pine Timber 2×2×5.8m</t>
  </si>
  <si>
    <t>Pine Timber 3×2×5.8m</t>
  </si>
  <si>
    <t>Pine Timber 8×1×5.8m</t>
  </si>
  <si>
    <t>Masonite Sheet 2.4×1.2</t>
  </si>
  <si>
    <t>Nail Pin</t>
  </si>
  <si>
    <t>Joinery</t>
  </si>
  <si>
    <t xml:space="preserve">Dakua Timber 8×2×5.8m </t>
  </si>
  <si>
    <t>Nail 1"</t>
  </si>
  <si>
    <t xml:space="preserve">Solid core door with perspex panel (200×1200×40mm) double door </t>
  </si>
  <si>
    <t>Solid core door (2000×950×40mm)</t>
  </si>
  <si>
    <t>Hardware</t>
  </si>
  <si>
    <t>100mm butt brass hinges with screw</t>
  </si>
  <si>
    <t>pair</t>
  </si>
  <si>
    <t>Rebated mortice lock complete with handles and keys</t>
  </si>
  <si>
    <t>each</t>
  </si>
  <si>
    <t xml:space="preserve">100mm barrel bolt with screw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</si>
  <si>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 each</t>
  </si>
  <si>
    <t>Roofing</t>
  </si>
  <si>
    <t>Colorbond corrugated roofing sheet 15 feets</t>
  </si>
  <si>
    <t>Sheets</t>
  </si>
  <si>
    <t>Colorbond roofing sheets 5fts</t>
  </si>
  <si>
    <t>Roofing screw 3" with rubber washer</t>
  </si>
  <si>
    <t>Sisalation aluminium foil (30×1m)</t>
  </si>
  <si>
    <t>Chicken wire mesh (30×1m)</t>
  </si>
  <si>
    <t>Colorbond Aluminium ridge cap</t>
  </si>
  <si>
    <t>Colorbond Aluminium roof flashing</t>
  </si>
  <si>
    <t>Flat head nail 2"</t>
  </si>
  <si>
    <t>Colorbond aluminium gutter with bracket</t>
  </si>
  <si>
    <t>P50pcs/pktop rivet</t>
  </si>
  <si>
    <t>pkt</t>
  </si>
  <si>
    <t>Outlet to gutter 100mm diameter</t>
  </si>
  <si>
    <t>100mm dia PVC Pipe</t>
  </si>
  <si>
    <t>100mm pvc clips</t>
  </si>
  <si>
    <t>100mm dia bend</t>
  </si>
  <si>
    <t>100mm dia tee with access cap (Screwed)</t>
  </si>
  <si>
    <t>Electrical Services</t>
  </si>
  <si>
    <t>Switchboard complete with circuit breaker, wiring and connections</t>
  </si>
  <si>
    <t>Conduit pipe 15mm</t>
  </si>
  <si>
    <t>length</t>
  </si>
  <si>
    <t>15mm clips</t>
  </si>
  <si>
    <t>Circuit wire for powerpoint 2.5mm</t>
  </si>
  <si>
    <t>m</t>
  </si>
  <si>
    <t>1.5mm circuit wire</t>
  </si>
  <si>
    <t>4ft led fluorescent light</t>
  </si>
  <si>
    <t>Pendant light complete with holder</t>
  </si>
  <si>
    <t>Ceiling fan 48" complete with switch</t>
  </si>
  <si>
    <t>Power point double</t>
  </si>
  <si>
    <t>mounting</t>
  </si>
  <si>
    <t>Speacilist Finishes</t>
  </si>
  <si>
    <t>Non slip ceramic tile 300×300mm (17pcs/box)</t>
  </si>
  <si>
    <t>box</t>
  </si>
  <si>
    <t>adhesive CTF 20Kg</t>
  </si>
  <si>
    <t>Bag</t>
  </si>
  <si>
    <t>20kg Grout</t>
  </si>
  <si>
    <t>Painting and Decoration</t>
  </si>
  <si>
    <t>Acrylic sealer undercoat 4 litre</t>
  </si>
  <si>
    <t>Tin</t>
  </si>
  <si>
    <t>Semi gloss 4 Litre</t>
  </si>
  <si>
    <t>Enamel undercoat 4 litre</t>
  </si>
  <si>
    <t>Super enamel 4 litre</t>
  </si>
  <si>
    <t>Varnish 4 Litre</t>
  </si>
  <si>
    <t>Pink Primer 4 litre</t>
  </si>
  <si>
    <t>4" Hand brush</t>
  </si>
  <si>
    <t>2" Hand brush</t>
  </si>
  <si>
    <t>4" set roller brush with tray</t>
  </si>
  <si>
    <t>set</t>
  </si>
  <si>
    <t>Glazing and Security Wire Meshing</t>
  </si>
  <si>
    <t>Louver clear glass 36"×6"</t>
  </si>
  <si>
    <t>SS mesh security 2×1m/sheet</t>
  </si>
  <si>
    <t>sheet</t>
  </si>
  <si>
    <t>U nail 1.5 - 2 inches</t>
  </si>
  <si>
    <t>kg</t>
  </si>
  <si>
    <t>D10 dia rebar 6m (3/8)</t>
  </si>
  <si>
    <t>D16 dia rebar 6m (5/18)</t>
  </si>
  <si>
    <t>External plywood 12mm, 2.4m, 1.2m (1/2)</t>
  </si>
  <si>
    <t>Formply 17mm, 2.4, 1.2 (5/8)</t>
  </si>
  <si>
    <t>Jolthead galvanize nails (4)</t>
  </si>
  <si>
    <t>Flat head galvanize nails 1(1/2)</t>
  </si>
  <si>
    <t>Flathead galvanize nails (2)</t>
  </si>
  <si>
    <t>Jolthead galvanize nails (2)</t>
  </si>
  <si>
    <t>Jolthead galvanuze nails (3)</t>
  </si>
  <si>
    <t>Nails panel pin 25" flathead</t>
  </si>
  <si>
    <t>Rolls</t>
  </si>
  <si>
    <t>Polytheno 0.9m + 60m</t>
  </si>
  <si>
    <t>Portland Cement 40 Kg</t>
  </si>
  <si>
    <t>Punched strap galv 25×1m×40</t>
  </si>
  <si>
    <t>Coil</t>
  </si>
  <si>
    <t>R6 dia rebar × 6m (1/4)</t>
  </si>
  <si>
    <t>Ridge cap 24 gauge 2.4m</t>
  </si>
  <si>
    <t>Roofing Sheets Zinacalume 10 fts</t>
  </si>
  <si>
    <t>Roofing Sheets Zinacalume 12 fts</t>
  </si>
  <si>
    <t>Roofing Sheets Zinacalume 6 fts</t>
  </si>
  <si>
    <t>Roofing Sheets Zinacalume 8 fts</t>
  </si>
  <si>
    <t>Roofing Sheets Zinacalume 9 fts</t>
  </si>
  <si>
    <t>Roofing nails 65mm with washier</t>
  </si>
  <si>
    <t>Sisalation paper 1.2×40m</t>
  </si>
  <si>
    <t>Mesh Wire 5m×2.4m</t>
  </si>
  <si>
    <t>Tie wire 1 Kg</t>
  </si>
  <si>
    <t>Coils</t>
  </si>
  <si>
    <t>Timber Pine 100×50×6m (4"×2"×6m)</t>
  </si>
  <si>
    <t>Timber Pine 150×50×6m (6"×2"×6m)</t>
  </si>
  <si>
    <t>Timber Pine 200×25×6m (8"×1"×6m)</t>
  </si>
  <si>
    <t>Timber Pine 200×50×6m (8"×2"×6m)</t>
  </si>
  <si>
    <t>Timber Pine 50×50×6m (2"×2"×6m)</t>
  </si>
  <si>
    <t>Cement 40Kg</t>
  </si>
  <si>
    <t>Geotextile 100m/roll</t>
  </si>
  <si>
    <t>Sandbag</t>
  </si>
  <si>
    <t>pcs</t>
  </si>
  <si>
    <t>Formply sheet 3/4"</t>
  </si>
  <si>
    <t>sheets</t>
  </si>
  <si>
    <t>Timber frame 100×50mm</t>
  </si>
  <si>
    <t>Nails 4"</t>
  </si>
  <si>
    <t>Nails 3"</t>
  </si>
  <si>
    <t>Nails flat 1 1/2"</t>
  </si>
  <si>
    <t>PVC Pipe 100mm</t>
  </si>
  <si>
    <t>Hand Saw</t>
  </si>
  <si>
    <t xml:space="preserve">Tape measure 50 mtr </t>
  </si>
  <si>
    <t>Tape measure 8 mtr</t>
  </si>
  <si>
    <t>Bench Bar</t>
  </si>
  <si>
    <t xml:space="preserve">Shovels </t>
  </si>
  <si>
    <t>Hammer</t>
  </si>
  <si>
    <t xml:space="preserve">Wheelbarrow </t>
  </si>
  <si>
    <t>Crow Bar</t>
  </si>
  <si>
    <t>Measurement per unit</t>
  </si>
  <si>
    <t>Total measurement</t>
  </si>
  <si>
    <t>Tonnage</t>
  </si>
  <si>
    <t>220 (11 ctn in 20 pieces)</t>
  </si>
  <si>
    <t>1674 (17 rolls of 100)</t>
  </si>
  <si>
    <t>rolls</t>
  </si>
  <si>
    <t>M12 + 230 bolt &amp; nut &amp; washer galvanized (3/4) plus 80 washer not in list</t>
  </si>
  <si>
    <t>Roofing Sheets Zinacalume 15 fts (only 17 sheets provided by King)</t>
  </si>
  <si>
    <t>two-way switch way single (lamp pin G-light led)</t>
  </si>
  <si>
    <t>275 (100 provided by TT</t>
  </si>
  <si>
    <t>18 (79 provided by TTT)</t>
  </si>
  <si>
    <t>30 (12 provided by TTT)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</si>
</sst>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52EA0-C1CF-48A9-A60F-D7DCC5E97C2F}">
  <dimension ref="B2:G113"/>
  <sheetViews>
    <sheetView workbookViewId="0">
      <selection activeCell="I13" sqref="I13"/>
    </sheetView>
  </sheetViews>
  <sheetFormatPr defaultRowHeight="15" x14ac:dyDescent="0.25"/>
  <cols>
    <col min="2" max="2" width="39.42578125" style="4" customWidth="1"/>
    <col min="3" max="3" width="9.140625" style="7" customWidth="1"/>
    <col min="4" max="4" width="7.85546875" style="4" customWidth="1"/>
    <col min="5" max="5" width="12.140625" style="7" customWidth="1"/>
    <col min="6" max="6" width="14" style="7" customWidth="1"/>
    <col min="7" max="7" width="13.140625" style="7" customWidth="1"/>
  </cols>
  <sheetData>
    <row r="2" spans="2:7" ht="30" x14ac:dyDescent="0.25">
      <c r="B2" s="2" t="s">
        <v>0</v>
      </c>
      <c r="C2" s="3" t="s">
        <v>1</v>
      </c>
      <c r="D2" s="2" t="s">
        <v>2</v>
      </c>
      <c r="E2" s="3" t="s">
        <v>167</v>
      </c>
      <c r="F2" s="3" t="s">
        <v>168</v>
      </c>
      <c r="G2" s="3" t="s">
        <v>169</v>
      </c>
    </row>
    <row r="3" spans="2:7" x14ac:dyDescent="0.25">
      <c r="B3" s="5"/>
      <c r="C3" s="8"/>
      <c r="D3" s="5"/>
      <c r="E3" s="8"/>
      <c r="F3" s="8"/>
      <c r="G3" s="8"/>
    </row>
    <row r="4" spans="2:7" x14ac:dyDescent="0.25">
      <c r="B4" s="2" t="s">
        <v>7</v>
      </c>
      <c r="C4" s="8"/>
      <c r="D4" s="5"/>
      <c r="E4" s="8"/>
      <c r="F4" s="8"/>
      <c r="G4" s="8"/>
    </row>
    <row r="5" spans="2:7" x14ac:dyDescent="0.25">
      <c r="B5" s="5" t="s">
        <v>3</v>
      </c>
      <c r="C5" s="8">
        <v>96</v>
      </c>
      <c r="D5" s="5" t="s">
        <v>4</v>
      </c>
      <c r="E5" s="8">
        <v>8.5999999999999993E-2</v>
      </c>
      <c r="F5" s="8">
        <f>96*0.086</f>
        <v>8.2560000000000002</v>
      </c>
      <c r="G5" s="8">
        <f>8.256/1.133</f>
        <v>7.2868490732568407</v>
      </c>
    </row>
    <row r="6" spans="2:7" x14ac:dyDescent="0.25">
      <c r="B6" s="5" t="s">
        <v>5</v>
      </c>
      <c r="C6" s="8">
        <v>31</v>
      </c>
      <c r="D6" s="5" t="s">
        <v>6</v>
      </c>
      <c r="E6" s="8">
        <v>3.0000000000000001E-3</v>
      </c>
      <c r="F6" s="8">
        <f>0.003*31</f>
        <v>9.2999999999999999E-2</v>
      </c>
      <c r="G6" s="8">
        <f>0.093/1.133</f>
        <v>8.2082965578111206E-2</v>
      </c>
    </row>
    <row r="7" spans="2:7" x14ac:dyDescent="0.25">
      <c r="B7" s="5"/>
      <c r="C7" s="8"/>
      <c r="D7" s="5"/>
      <c r="E7" s="8"/>
      <c r="F7" s="8"/>
      <c r="G7" s="8"/>
    </row>
    <row r="8" spans="2:7" x14ac:dyDescent="0.25">
      <c r="B8" s="2" t="s">
        <v>27</v>
      </c>
      <c r="C8" s="8"/>
      <c r="D8" s="5"/>
      <c r="E8" s="8"/>
      <c r="F8" s="8"/>
      <c r="G8" s="8"/>
    </row>
    <row r="9" spans="2:7" x14ac:dyDescent="0.25">
      <c r="B9" s="5" t="s">
        <v>3</v>
      </c>
      <c r="C9" s="8">
        <v>26</v>
      </c>
      <c r="D9" s="5" t="s">
        <v>4</v>
      </c>
      <c r="E9" s="8">
        <v>8.5999999999999993E-2</v>
      </c>
      <c r="F9" s="8">
        <f>0.086*26</f>
        <v>2.2359999999999998</v>
      </c>
      <c r="G9" s="8">
        <f>2.236/1.133</f>
        <v>1.973521624007061</v>
      </c>
    </row>
    <row r="10" spans="2:7" x14ac:dyDescent="0.25">
      <c r="B10" s="5" t="s">
        <v>28</v>
      </c>
      <c r="C10" s="8">
        <v>726</v>
      </c>
      <c r="D10" s="5" t="s">
        <v>29</v>
      </c>
      <c r="E10" s="8">
        <v>0.01</v>
      </c>
      <c r="F10" s="8">
        <f>0.01*726</f>
        <v>7.26</v>
      </c>
      <c r="G10" s="8">
        <f>7.26/1.133</f>
        <v>6.407766990291262</v>
      </c>
    </row>
    <row r="11" spans="2:7" x14ac:dyDescent="0.25">
      <c r="B11" s="5"/>
      <c r="C11" s="8"/>
      <c r="D11" s="5"/>
      <c r="E11" s="8"/>
      <c r="F11" s="8"/>
      <c r="G11" s="8"/>
    </row>
    <row r="12" spans="2:7" x14ac:dyDescent="0.25">
      <c r="B12" s="2" t="s">
        <v>8</v>
      </c>
      <c r="C12" s="8"/>
      <c r="D12" s="5"/>
      <c r="E12" s="8"/>
      <c r="F12" s="8"/>
      <c r="G12" s="8"/>
    </row>
    <row r="13" spans="2:7" x14ac:dyDescent="0.25">
      <c r="B13" s="5" t="s">
        <v>9</v>
      </c>
      <c r="C13" s="8">
        <v>7</v>
      </c>
      <c r="D13" s="5" t="s">
        <v>10</v>
      </c>
      <c r="E13" s="8">
        <v>7.3999999999999996E-2</v>
      </c>
      <c r="F13" s="8">
        <f>0.074*7</f>
        <v>0.51800000000000002</v>
      </c>
      <c r="G13" s="8">
        <f>0.518/1.133</f>
        <v>0.45719329214474846</v>
      </c>
    </row>
    <row r="14" spans="2:7" ht="45" x14ac:dyDescent="0.25">
      <c r="B14" s="6" t="s">
        <v>11</v>
      </c>
      <c r="C14" s="9" t="s">
        <v>177</v>
      </c>
      <c r="D14" s="5" t="s">
        <v>12</v>
      </c>
      <c r="E14" s="8">
        <v>1.4999999999999999E-2</v>
      </c>
      <c r="F14" s="8">
        <f>0.015*18</f>
        <v>0.27</v>
      </c>
      <c r="G14" s="8">
        <f>0.27/1.133</f>
        <v>0.23830538393645193</v>
      </c>
    </row>
    <row r="15" spans="2:7" x14ac:dyDescent="0.25">
      <c r="B15" s="5" t="s">
        <v>13</v>
      </c>
      <c r="C15" s="8">
        <v>35</v>
      </c>
      <c r="D15" s="5" t="s">
        <v>14</v>
      </c>
      <c r="E15" s="8">
        <v>3.0000000000000001E-3</v>
      </c>
      <c r="F15" s="8">
        <f>0.003*35</f>
        <v>0.105</v>
      </c>
      <c r="G15" s="8">
        <f>0.105/1.133</f>
        <v>9.2674315975286845E-2</v>
      </c>
    </row>
    <row r="16" spans="2:7" x14ac:dyDescent="0.25">
      <c r="B16" s="5" t="s">
        <v>15</v>
      </c>
      <c r="C16" s="8">
        <v>11</v>
      </c>
      <c r="D16" s="5" t="s">
        <v>14</v>
      </c>
      <c r="E16" s="8">
        <v>3.0000000000000001E-3</v>
      </c>
      <c r="F16" s="8">
        <f>0.003*11</f>
        <v>3.3000000000000002E-2</v>
      </c>
      <c r="G16" s="8">
        <f>0.033/1.133</f>
        <v>2.9126213592233011E-2</v>
      </c>
    </row>
    <row r="17" spans="2:7" x14ac:dyDescent="0.25">
      <c r="B17" s="5"/>
      <c r="C17" s="8"/>
      <c r="D17" s="5"/>
      <c r="E17" s="8"/>
      <c r="F17" s="8"/>
      <c r="G17" s="8"/>
    </row>
    <row r="18" spans="2:7" x14ac:dyDescent="0.25">
      <c r="B18" s="2" t="s">
        <v>16</v>
      </c>
      <c r="C18" s="8"/>
      <c r="D18" s="5"/>
      <c r="E18" s="8"/>
      <c r="F18" s="8"/>
      <c r="G18" s="8"/>
    </row>
    <row r="19" spans="2:7" x14ac:dyDescent="0.25">
      <c r="B19" s="5" t="s">
        <v>17</v>
      </c>
      <c r="C19" s="8">
        <v>1</v>
      </c>
      <c r="D19" s="5" t="s">
        <v>18</v>
      </c>
      <c r="E19" s="8">
        <v>3.0000000000000001E-3</v>
      </c>
      <c r="F19" s="8">
        <f>0.003*1</f>
        <v>3.0000000000000001E-3</v>
      </c>
      <c r="G19" s="8">
        <f>0.003/1.133</f>
        <v>2.6478375992939102E-3</v>
      </c>
    </row>
    <row r="20" spans="2:7" x14ac:dyDescent="0.25">
      <c r="B20" s="5"/>
      <c r="C20" s="8"/>
      <c r="D20" s="5"/>
      <c r="E20" s="8"/>
      <c r="F20" s="8"/>
      <c r="G20" s="8"/>
    </row>
    <row r="21" spans="2:7" x14ac:dyDescent="0.25">
      <c r="B21" s="2" t="s">
        <v>19</v>
      </c>
      <c r="C21" s="8"/>
      <c r="D21" s="5"/>
      <c r="E21" s="8"/>
      <c r="F21" s="8"/>
      <c r="G21" s="8"/>
    </row>
    <row r="22" spans="2:7" x14ac:dyDescent="0.25">
      <c r="B22" s="5" t="s">
        <v>20</v>
      </c>
      <c r="C22" s="8">
        <v>30</v>
      </c>
      <c r="D22" s="5" t="s">
        <v>12</v>
      </c>
      <c r="E22" s="8">
        <v>5.0000000000000001E-3</v>
      </c>
      <c r="F22" s="8">
        <f>0.005*30</f>
        <v>0.15</v>
      </c>
      <c r="G22" s="8">
        <f>0.15/1.133</f>
        <v>0.13239187996469548</v>
      </c>
    </row>
    <row r="23" spans="2:7" x14ac:dyDescent="0.25">
      <c r="B23" s="5" t="s">
        <v>21</v>
      </c>
      <c r="C23" s="8">
        <v>16</v>
      </c>
      <c r="D23" s="5" t="s">
        <v>12</v>
      </c>
      <c r="E23" s="8">
        <v>4.0000000000000001E-3</v>
      </c>
      <c r="F23" s="8">
        <f>0.004*16</f>
        <v>6.4000000000000001E-2</v>
      </c>
      <c r="G23" s="8">
        <f>0.064/1.133</f>
        <v>5.6487202118270081E-2</v>
      </c>
    </row>
    <row r="24" spans="2:7" x14ac:dyDescent="0.25">
      <c r="B24" s="5" t="s">
        <v>22</v>
      </c>
      <c r="C24" s="8">
        <v>19</v>
      </c>
      <c r="D24" s="5" t="s">
        <v>12</v>
      </c>
      <c r="E24" s="8">
        <v>1.4999999999999999E-2</v>
      </c>
      <c r="F24" s="8">
        <f>0.015*19</f>
        <v>0.28499999999999998</v>
      </c>
      <c r="G24" s="8">
        <f>0.285/1.133</f>
        <v>0.2515445719329214</v>
      </c>
    </row>
    <row r="25" spans="2:7" x14ac:dyDescent="0.25">
      <c r="B25" s="5" t="s">
        <v>23</v>
      </c>
      <c r="C25" s="8">
        <v>24</v>
      </c>
      <c r="D25" s="5" t="s">
        <v>12</v>
      </c>
      <c r="E25" s="8">
        <v>5.0000000000000001E-3</v>
      </c>
      <c r="F25" s="8">
        <f>0.005*24</f>
        <v>0.12</v>
      </c>
      <c r="G25" s="8">
        <f>0.12/1.133</f>
        <v>0.10591350397175639</v>
      </c>
    </row>
    <row r="26" spans="2:7" x14ac:dyDescent="0.25">
      <c r="B26" s="5" t="s">
        <v>24</v>
      </c>
      <c r="C26" s="8">
        <v>4</v>
      </c>
      <c r="D26" s="5" t="s">
        <v>12</v>
      </c>
      <c r="E26" s="8">
        <v>4.0000000000000001E-3</v>
      </c>
      <c r="F26" s="8">
        <f>0.004*4</f>
        <v>1.6E-2</v>
      </c>
      <c r="G26" s="8">
        <f>0.016/1.133</f>
        <v>1.412180052956752E-2</v>
      </c>
    </row>
    <row r="27" spans="2:7" x14ac:dyDescent="0.25">
      <c r="B27" s="5" t="s">
        <v>25</v>
      </c>
      <c r="C27" s="8">
        <v>6</v>
      </c>
      <c r="D27" s="5" t="s">
        <v>10</v>
      </c>
      <c r="E27" s="8">
        <v>0.112</v>
      </c>
      <c r="F27" s="8">
        <f>0.112*6</f>
        <v>0.67200000000000004</v>
      </c>
      <c r="G27" s="8">
        <f>0.672/1.133</f>
        <v>0.59311562224183589</v>
      </c>
    </row>
    <row r="28" spans="2:7" x14ac:dyDescent="0.25">
      <c r="B28" s="5" t="s">
        <v>26</v>
      </c>
      <c r="C28" s="8">
        <v>20</v>
      </c>
      <c r="D28" s="5" t="s">
        <v>18</v>
      </c>
      <c r="E28" s="8">
        <v>0.11</v>
      </c>
      <c r="F28" s="8">
        <f>0.11*20</f>
        <v>2.2000000000000002</v>
      </c>
      <c r="G28" s="8">
        <f>2.2/1.133</f>
        <v>1.9417475728155342</v>
      </c>
    </row>
    <row r="29" spans="2:7" x14ac:dyDescent="0.25">
      <c r="B29" s="5"/>
      <c r="C29" s="8"/>
      <c r="D29" s="5"/>
      <c r="E29" s="8"/>
      <c r="F29" s="8"/>
      <c r="G29" s="8"/>
    </row>
    <row r="30" spans="2:7" x14ac:dyDescent="0.25">
      <c r="B30" s="2" t="s">
        <v>30</v>
      </c>
      <c r="C30" s="8"/>
      <c r="D30" s="5"/>
      <c r="E30" s="8"/>
      <c r="F30" s="8"/>
      <c r="G30" s="8"/>
    </row>
    <row r="31" spans="2:7" x14ac:dyDescent="0.25">
      <c r="B31" s="5" t="s">
        <v>31</v>
      </c>
      <c r="C31" s="8">
        <v>22</v>
      </c>
      <c r="D31" s="5" t="s">
        <v>6</v>
      </c>
      <c r="E31" s="8">
        <v>3.0000000000000001E-3</v>
      </c>
      <c r="F31" s="8">
        <f>0.003*22</f>
        <v>6.6000000000000003E-2</v>
      </c>
      <c r="G31" s="8">
        <f>0.066/1.133</f>
        <v>5.8252427184466021E-2</v>
      </c>
    </row>
    <row r="32" spans="2:7" x14ac:dyDescent="0.25">
      <c r="B32" s="5"/>
      <c r="C32" s="8"/>
      <c r="D32" s="5"/>
      <c r="E32" s="8"/>
      <c r="F32" s="8"/>
      <c r="G32" s="8"/>
    </row>
    <row r="33" spans="2:7" x14ac:dyDescent="0.25">
      <c r="B33" s="2" t="s">
        <v>32</v>
      </c>
      <c r="C33" s="8"/>
      <c r="D33" s="5"/>
      <c r="E33" s="8"/>
      <c r="F33" s="8"/>
      <c r="G33" s="8"/>
    </row>
    <row r="34" spans="2:7" x14ac:dyDescent="0.25">
      <c r="B34" s="5" t="s">
        <v>33</v>
      </c>
      <c r="C34" s="8">
        <v>21</v>
      </c>
      <c r="D34" s="5" t="s">
        <v>34</v>
      </c>
      <c r="E34" s="8">
        <v>0.08</v>
      </c>
      <c r="F34" s="8">
        <f>0.08*21</f>
        <v>1.68</v>
      </c>
      <c r="G34" s="8">
        <f>1.68/1.133</f>
        <v>1.4827890556045895</v>
      </c>
    </row>
    <row r="35" spans="2:7" x14ac:dyDescent="0.25">
      <c r="B35" s="5"/>
      <c r="C35" s="8"/>
      <c r="D35" s="5"/>
      <c r="E35" s="8"/>
      <c r="F35" s="8"/>
      <c r="G35" s="8"/>
    </row>
    <row r="36" spans="2:7" x14ac:dyDescent="0.25">
      <c r="B36" s="2" t="s">
        <v>35</v>
      </c>
      <c r="C36" s="8"/>
      <c r="D36" s="5"/>
      <c r="E36" s="8"/>
      <c r="F36" s="8"/>
      <c r="G36" s="8"/>
    </row>
    <row r="37" spans="2:7" x14ac:dyDescent="0.25">
      <c r="B37" s="5" t="s">
        <v>36</v>
      </c>
      <c r="C37" s="8">
        <v>8</v>
      </c>
      <c r="D37" s="5" t="s">
        <v>12</v>
      </c>
      <c r="E37" s="8">
        <v>2.3E-2</v>
      </c>
      <c r="F37" s="8">
        <f>0.023*8</f>
        <v>0.184</v>
      </c>
      <c r="G37" s="8">
        <f>0.184/1.133</f>
        <v>0.16240070609002646</v>
      </c>
    </row>
    <row r="38" spans="2:7" x14ac:dyDescent="0.25">
      <c r="B38" s="5" t="s">
        <v>37</v>
      </c>
      <c r="C38" s="8">
        <v>4</v>
      </c>
      <c r="D38" s="5" t="s">
        <v>6</v>
      </c>
      <c r="E38" s="8"/>
      <c r="F38" s="8"/>
      <c r="G38" s="8"/>
    </row>
    <row r="39" spans="2:7" x14ac:dyDescent="0.25">
      <c r="B39" s="5" t="s">
        <v>38</v>
      </c>
      <c r="C39" s="8">
        <v>46</v>
      </c>
      <c r="D39" s="5" t="s">
        <v>12</v>
      </c>
      <c r="E39" s="8">
        <v>0.03</v>
      </c>
      <c r="F39" s="8">
        <f>0.03*46</f>
        <v>1.38</v>
      </c>
      <c r="G39" s="8">
        <f>1.38/1.133</f>
        <v>1.2180052956751986</v>
      </c>
    </row>
    <row r="40" spans="2:7" x14ac:dyDescent="0.25">
      <c r="B40" s="6" t="s">
        <v>44</v>
      </c>
      <c r="C40" s="9">
        <v>50</v>
      </c>
      <c r="D40" s="5" t="s">
        <v>12</v>
      </c>
      <c r="E40" s="8">
        <v>1.4999999999999999E-2</v>
      </c>
      <c r="F40" s="8">
        <f>0.015*50</f>
        <v>0.75</v>
      </c>
      <c r="G40" s="8">
        <f>0.75/1.133</f>
        <v>0.66195939982347751</v>
      </c>
    </row>
    <row r="41" spans="2:7" x14ac:dyDescent="0.25">
      <c r="B41" s="5" t="s">
        <v>45</v>
      </c>
      <c r="C41" s="8">
        <v>29</v>
      </c>
      <c r="D41" s="5" t="s">
        <v>12</v>
      </c>
      <c r="E41" s="8">
        <v>2.3E-2</v>
      </c>
      <c r="F41" s="8">
        <f>0.023*29</f>
        <v>0.66700000000000004</v>
      </c>
      <c r="G41" s="8">
        <f>0.667/1.133</f>
        <v>0.58870255957634599</v>
      </c>
    </row>
    <row r="42" spans="2:7" x14ac:dyDescent="0.25">
      <c r="B42" s="5" t="s">
        <v>46</v>
      </c>
      <c r="C42" s="8">
        <v>16</v>
      </c>
      <c r="D42" s="5" t="s">
        <v>12</v>
      </c>
      <c r="E42" s="8">
        <v>0.03</v>
      </c>
      <c r="F42" s="8">
        <f>0.03*16</f>
        <v>0.48</v>
      </c>
      <c r="G42" s="8">
        <f>0.48/1.133</f>
        <v>0.42365401588702556</v>
      </c>
    </row>
    <row r="43" spans="2:7" x14ac:dyDescent="0.25">
      <c r="B43" s="5" t="s">
        <v>39</v>
      </c>
      <c r="C43" s="8">
        <v>47</v>
      </c>
      <c r="D43" s="5" t="s">
        <v>40</v>
      </c>
      <c r="E43" s="8">
        <v>3.0000000000000001E-3</v>
      </c>
      <c r="F43" s="8">
        <f>0.003*47</f>
        <v>0.14100000000000001</v>
      </c>
      <c r="G43" s="8">
        <f>0.141/1.133</f>
        <v>0.12444836716681376</v>
      </c>
    </row>
    <row r="44" spans="2:7" x14ac:dyDescent="0.25">
      <c r="B44" s="5" t="s">
        <v>41</v>
      </c>
      <c r="C44" s="8">
        <v>1</v>
      </c>
      <c r="D44" s="5" t="s">
        <v>14</v>
      </c>
      <c r="E44" s="8">
        <v>3.0000000000000001E-3</v>
      </c>
      <c r="F44" s="8">
        <f>0.003*1</f>
        <v>3.0000000000000001E-3</v>
      </c>
      <c r="G44" s="8">
        <f>0.003/1.133</f>
        <v>2.6478375992939102E-3</v>
      </c>
    </row>
    <row r="45" spans="2:7" x14ac:dyDescent="0.25">
      <c r="B45" s="5" t="s">
        <v>42</v>
      </c>
      <c r="C45" s="8">
        <v>11</v>
      </c>
      <c r="D45" s="5" t="s">
        <v>10</v>
      </c>
      <c r="E45" s="8">
        <v>7.3999999999999996E-2</v>
      </c>
      <c r="F45" s="8">
        <f>0.074*11</f>
        <v>0.81399999999999995</v>
      </c>
      <c r="G45" s="8">
        <f>0.814/1.133</f>
        <v>0.71844660194174748</v>
      </c>
    </row>
    <row r="46" spans="2:7" x14ac:dyDescent="0.25">
      <c r="B46" s="5" t="s">
        <v>43</v>
      </c>
      <c r="C46" s="8">
        <v>14</v>
      </c>
      <c r="D46" s="5" t="s">
        <v>14</v>
      </c>
      <c r="E46" s="8">
        <v>3.0000000000000001E-3</v>
      </c>
      <c r="F46" s="8">
        <f>0.003*14</f>
        <v>4.2000000000000003E-2</v>
      </c>
      <c r="G46" s="8">
        <f>0.042/1.133</f>
        <v>3.7069726390114743E-2</v>
      </c>
    </row>
    <row r="47" spans="2:7" x14ac:dyDescent="0.25">
      <c r="B47" s="5" t="s">
        <v>47</v>
      </c>
      <c r="C47" s="8">
        <v>17</v>
      </c>
      <c r="D47" s="5" t="s">
        <v>10</v>
      </c>
      <c r="E47" s="8">
        <v>1.2E-2</v>
      </c>
      <c r="F47" s="8">
        <f>0.012*17</f>
        <v>0.20400000000000001</v>
      </c>
      <c r="G47" s="8">
        <f>0.204/1.133</f>
        <v>0.18005295675198588</v>
      </c>
    </row>
    <row r="48" spans="2:7" x14ac:dyDescent="0.25">
      <c r="B48" s="5" t="s">
        <v>48</v>
      </c>
      <c r="C48" s="8">
        <v>5</v>
      </c>
      <c r="D48" s="5" t="s">
        <v>14</v>
      </c>
      <c r="E48" s="8">
        <v>3.0000000000000001E-3</v>
      </c>
      <c r="F48" s="8">
        <f>0.003*5</f>
        <v>1.4999999999999999E-2</v>
      </c>
      <c r="G48" s="8">
        <f>0.015/1.133</f>
        <v>1.3239187996469549E-2</v>
      </c>
    </row>
    <row r="49" spans="2:7" x14ac:dyDescent="0.25">
      <c r="B49" s="5"/>
      <c r="C49" s="8"/>
      <c r="D49" s="5"/>
      <c r="E49" s="8"/>
      <c r="F49" s="8"/>
      <c r="G49" s="8"/>
    </row>
    <row r="50" spans="2:7" x14ac:dyDescent="0.25">
      <c r="B50" s="2" t="s">
        <v>49</v>
      </c>
      <c r="C50" s="8"/>
      <c r="D50" s="5"/>
      <c r="E50" s="8"/>
      <c r="F50" s="8"/>
      <c r="G50" s="8"/>
    </row>
    <row r="51" spans="2:7" x14ac:dyDescent="0.25">
      <c r="B51" s="5" t="s">
        <v>50</v>
      </c>
      <c r="C51" s="8">
        <v>12</v>
      </c>
      <c r="D51" s="5" t="s">
        <v>12</v>
      </c>
      <c r="E51" s="8">
        <v>0.06</v>
      </c>
      <c r="F51" s="8">
        <f>0.06*12</f>
        <v>0.72</v>
      </c>
      <c r="G51" s="8">
        <f>0.72/1.133</f>
        <v>0.63548102383053839</v>
      </c>
    </row>
    <row r="52" spans="2:7" x14ac:dyDescent="0.25">
      <c r="B52" s="5" t="s">
        <v>51</v>
      </c>
      <c r="C52" s="8">
        <v>3</v>
      </c>
      <c r="D52" s="5" t="s">
        <v>14</v>
      </c>
      <c r="E52" s="8">
        <v>3.0000000000000001E-3</v>
      </c>
      <c r="F52" s="8">
        <f>0.003*3</f>
        <v>9.0000000000000011E-3</v>
      </c>
      <c r="G52" s="8">
        <f>0.009/1.133</f>
        <v>7.9435127978817292E-3</v>
      </c>
    </row>
    <row r="53" spans="2:7" x14ac:dyDescent="0.25">
      <c r="B53" s="5" t="s">
        <v>53</v>
      </c>
      <c r="C53" s="8">
        <v>1</v>
      </c>
      <c r="D53" s="5" t="s">
        <v>6</v>
      </c>
      <c r="E53" s="8">
        <v>7.3999999999999996E-2</v>
      </c>
      <c r="F53" s="8">
        <f>0.074*1</f>
        <v>7.3999999999999996E-2</v>
      </c>
      <c r="G53" s="8">
        <f>0.074/1.133</f>
        <v>6.5313327449249781E-2</v>
      </c>
    </row>
    <row r="54" spans="2:7" x14ac:dyDescent="0.25">
      <c r="B54" s="5" t="s">
        <v>52</v>
      </c>
      <c r="C54" s="8">
        <v>1</v>
      </c>
      <c r="D54" s="5" t="s">
        <v>6</v>
      </c>
      <c r="E54" s="8">
        <v>7.3999999999999996E-2</v>
      </c>
      <c r="F54" s="8">
        <f>0.074*1</f>
        <v>7.3999999999999996E-2</v>
      </c>
      <c r="G54" s="8">
        <f>0.074/1.133</f>
        <v>6.5313327449249781E-2</v>
      </c>
    </row>
    <row r="55" spans="2:7" x14ac:dyDescent="0.25">
      <c r="B55" s="5"/>
      <c r="C55" s="8"/>
      <c r="D55" s="5"/>
      <c r="E55" s="8"/>
      <c r="F55" s="8"/>
      <c r="G55" s="8"/>
    </row>
    <row r="56" spans="2:7" x14ac:dyDescent="0.25">
      <c r="B56" s="2" t="s">
        <v>54</v>
      </c>
      <c r="C56" s="8"/>
      <c r="D56" s="5"/>
      <c r="E56" s="8"/>
      <c r="F56" s="8"/>
      <c r="G56" s="8"/>
    </row>
    <row r="57" spans="2:7" x14ac:dyDescent="0.25">
      <c r="B57" s="5" t="s">
        <v>55</v>
      </c>
      <c r="C57" s="8">
        <v>3</v>
      </c>
      <c r="D57" s="5" t="s">
        <v>56</v>
      </c>
      <c r="E57" s="8">
        <v>3.0000000000000001E-3</v>
      </c>
      <c r="F57" s="8">
        <f>0.003*3</f>
        <v>9.0000000000000011E-3</v>
      </c>
      <c r="G57" s="8">
        <f>0.009/1.133</f>
        <v>7.9435127978817292E-3</v>
      </c>
    </row>
    <row r="58" spans="2:7" x14ac:dyDescent="0.25">
      <c r="B58" s="5" t="s">
        <v>57</v>
      </c>
      <c r="C58" s="8">
        <v>2</v>
      </c>
      <c r="D58" s="5" t="s">
        <v>58</v>
      </c>
      <c r="E58" s="8">
        <v>3.0000000000000001E-3</v>
      </c>
      <c r="F58" s="8">
        <f>0.003*2</f>
        <v>6.0000000000000001E-3</v>
      </c>
      <c r="G58" s="8">
        <f>0.006/1.133</f>
        <v>5.2956751985878204E-3</v>
      </c>
    </row>
    <row r="59" spans="2:7" x14ac:dyDescent="0.25">
      <c r="B59" s="5" t="s">
        <v>59</v>
      </c>
      <c r="C59" s="8" t="s">
        <v>60</v>
      </c>
      <c r="D59" s="5"/>
      <c r="E59" s="8">
        <v>3.0000000000000001E-3</v>
      </c>
      <c r="F59" s="8">
        <f>0.003*2</f>
        <v>6.0000000000000001E-3</v>
      </c>
      <c r="G59" s="8">
        <f>0.006/1.133</f>
        <v>5.2956751985878204E-3</v>
      </c>
    </row>
    <row r="60" spans="2:7" x14ac:dyDescent="0.25">
      <c r="B60" s="5"/>
      <c r="C60" s="8"/>
      <c r="D60" s="5"/>
      <c r="E60" s="8"/>
      <c r="F60" s="8"/>
      <c r="G60" s="8"/>
    </row>
    <row r="61" spans="2:7" x14ac:dyDescent="0.25">
      <c r="B61" s="2" t="s">
        <v>61</v>
      </c>
      <c r="C61" s="8"/>
      <c r="D61" s="5"/>
      <c r="E61" s="8"/>
      <c r="F61" s="8"/>
      <c r="G61" s="8"/>
    </row>
    <row r="62" spans="2:7" x14ac:dyDescent="0.25">
      <c r="B62" s="5" t="s">
        <v>62</v>
      </c>
      <c r="C62" s="8">
        <v>36</v>
      </c>
      <c r="D62" s="5" t="s">
        <v>10</v>
      </c>
      <c r="E62" s="8">
        <v>1.4999999999999999E-2</v>
      </c>
      <c r="F62" s="8">
        <f>0.015*36</f>
        <v>0.54</v>
      </c>
      <c r="G62" s="8">
        <f>0.54/1.133</f>
        <v>0.47661076787290385</v>
      </c>
    </row>
    <row r="63" spans="2:7" x14ac:dyDescent="0.25">
      <c r="B63" s="5" t="s">
        <v>64</v>
      </c>
      <c r="C63" s="8">
        <v>10</v>
      </c>
      <c r="D63" s="5" t="s">
        <v>10</v>
      </c>
      <c r="E63" s="8">
        <v>6.0000000000000001E-3</v>
      </c>
      <c r="F63" s="8">
        <f>0.006*10</f>
        <v>0.06</v>
      </c>
      <c r="G63" s="8">
        <f>0.06/1.133</f>
        <v>5.2956751985878195E-2</v>
      </c>
    </row>
    <row r="64" spans="2:7" x14ac:dyDescent="0.25">
      <c r="B64" s="5" t="s">
        <v>65</v>
      </c>
      <c r="C64" s="10">
        <v>1108</v>
      </c>
      <c r="D64" s="5" t="s">
        <v>6</v>
      </c>
      <c r="E64" s="8"/>
      <c r="F64" s="8"/>
      <c r="G64" s="8"/>
    </row>
    <row r="65" spans="2:7" x14ac:dyDescent="0.25">
      <c r="B65" s="5" t="s">
        <v>66</v>
      </c>
      <c r="C65" s="8">
        <v>4</v>
      </c>
      <c r="D65" s="5" t="s">
        <v>18</v>
      </c>
      <c r="E65" s="8">
        <v>0.05</v>
      </c>
      <c r="F65" s="8">
        <f>0.05*4</f>
        <v>0.2</v>
      </c>
      <c r="G65" s="8">
        <f>0.2/1.133</f>
        <v>0.17652250661959401</v>
      </c>
    </row>
    <row r="66" spans="2:7" x14ac:dyDescent="0.25">
      <c r="B66" s="5" t="s">
        <v>67</v>
      </c>
      <c r="C66" s="8">
        <v>4</v>
      </c>
      <c r="D66" s="5" t="s">
        <v>18</v>
      </c>
      <c r="E66" s="8">
        <v>0.05</v>
      </c>
      <c r="F66" s="8">
        <f>0.05*4</f>
        <v>0.2</v>
      </c>
      <c r="G66" s="8">
        <f>0.2/1.133</f>
        <v>0.17652250661959401</v>
      </c>
    </row>
    <row r="67" spans="2:7" x14ac:dyDescent="0.25">
      <c r="B67" s="5" t="s">
        <v>68</v>
      </c>
      <c r="C67" s="8">
        <v>7</v>
      </c>
      <c r="D67" s="5" t="s">
        <v>10</v>
      </c>
      <c r="E67" s="8">
        <v>1.4999999999999999E-2</v>
      </c>
      <c r="F67" s="8">
        <f>0.015*7</f>
        <v>0.105</v>
      </c>
      <c r="G67" s="8">
        <f>0.105/1.133</f>
        <v>9.2674315975286845E-2</v>
      </c>
    </row>
    <row r="68" spans="2:7" x14ac:dyDescent="0.25">
      <c r="B68" s="5" t="s">
        <v>69</v>
      </c>
      <c r="C68" s="8">
        <v>8</v>
      </c>
      <c r="D68" s="5" t="s">
        <v>10</v>
      </c>
      <c r="E68" s="8">
        <v>1.4999999999999999E-2</v>
      </c>
      <c r="F68" s="8">
        <f>0.015*8</f>
        <v>0.12</v>
      </c>
      <c r="G68" s="8">
        <f>0.12/1.133</f>
        <v>0.10591350397175639</v>
      </c>
    </row>
    <row r="69" spans="2:7" x14ac:dyDescent="0.25">
      <c r="B69" s="5" t="s">
        <v>70</v>
      </c>
      <c r="C69" s="8">
        <v>2</v>
      </c>
      <c r="D69" s="5" t="s">
        <v>14</v>
      </c>
      <c r="E69" s="8">
        <v>3.0000000000000001E-3</v>
      </c>
      <c r="F69" s="8">
        <f>0.003*2</f>
        <v>6.0000000000000001E-3</v>
      </c>
      <c r="G69" s="8">
        <f>0.006/1.133</f>
        <v>5.2956751985878204E-3</v>
      </c>
    </row>
    <row r="70" spans="2:7" x14ac:dyDescent="0.25">
      <c r="B70" s="5" t="s">
        <v>71</v>
      </c>
      <c r="C70" s="8">
        <v>16</v>
      </c>
      <c r="D70" s="5" t="s">
        <v>10</v>
      </c>
      <c r="E70" s="8">
        <v>1.4999999999999999E-2</v>
      </c>
      <c r="F70" s="8">
        <f>0.015*16</f>
        <v>0.24</v>
      </c>
      <c r="G70" s="8">
        <f>0.24/1.133</f>
        <v>0.21182700794351278</v>
      </c>
    </row>
    <row r="71" spans="2:7" x14ac:dyDescent="0.25">
      <c r="B71" s="5" t="s">
        <v>72</v>
      </c>
      <c r="C71" s="8">
        <v>4</v>
      </c>
      <c r="D71" s="5" t="s">
        <v>73</v>
      </c>
      <c r="E71" s="8">
        <v>3.0000000000000001E-3</v>
      </c>
      <c r="F71" s="8">
        <f>0.003*4</f>
        <v>1.2E-2</v>
      </c>
      <c r="G71" s="8">
        <f>0.012/1.133</f>
        <v>1.0591350397175641E-2</v>
      </c>
    </row>
    <row r="72" spans="2:7" x14ac:dyDescent="0.25">
      <c r="B72" s="5" t="s">
        <v>74</v>
      </c>
      <c r="C72" s="8">
        <v>2</v>
      </c>
      <c r="D72" s="5" t="s">
        <v>58</v>
      </c>
      <c r="E72" s="8">
        <v>3.0000000000000001E-3</v>
      </c>
      <c r="F72" s="8">
        <f>0.003*2</f>
        <v>6.0000000000000001E-3</v>
      </c>
      <c r="G72" s="8">
        <f>0.006/1.133</f>
        <v>5.2956751985878204E-3</v>
      </c>
    </row>
    <row r="73" spans="2:7" x14ac:dyDescent="0.25">
      <c r="B73" s="5" t="s">
        <v>75</v>
      </c>
      <c r="C73" s="8">
        <v>6</v>
      </c>
      <c r="D73" s="5" t="s">
        <v>12</v>
      </c>
      <c r="E73" s="8">
        <v>0.06</v>
      </c>
      <c r="F73" s="8">
        <f>0.06*6</f>
        <v>0.36</v>
      </c>
      <c r="G73" s="8">
        <f>0.36/1.133</f>
        <v>0.3177405119152692</v>
      </c>
    </row>
    <row r="74" spans="2:7" x14ac:dyDescent="0.25">
      <c r="B74" s="5" t="s">
        <v>76</v>
      </c>
      <c r="C74" s="8">
        <v>3</v>
      </c>
      <c r="D74" s="5" t="s">
        <v>58</v>
      </c>
      <c r="E74" s="8">
        <v>3.0000000000000001E-3</v>
      </c>
      <c r="F74" s="8">
        <f>0.003*3</f>
        <v>9.0000000000000011E-3</v>
      </c>
      <c r="G74" s="8">
        <f>0.009/1.133</f>
        <v>7.9435127978817292E-3</v>
      </c>
    </row>
    <row r="75" spans="2:7" x14ac:dyDescent="0.25">
      <c r="B75" s="5" t="s">
        <v>77</v>
      </c>
      <c r="C75" s="8">
        <v>8</v>
      </c>
      <c r="D75" s="5" t="s">
        <v>58</v>
      </c>
      <c r="E75" s="8">
        <v>3.0000000000000001E-3</v>
      </c>
      <c r="F75" s="8">
        <f>0.003*8</f>
        <v>2.4E-2</v>
      </c>
      <c r="G75" s="8">
        <f>0.024/1.133</f>
        <v>2.1182700794351281E-2</v>
      </c>
    </row>
    <row r="76" spans="2:7" x14ac:dyDescent="0.25">
      <c r="B76" s="5" t="s">
        <v>78</v>
      </c>
      <c r="C76" s="8">
        <v>2</v>
      </c>
      <c r="D76" s="5" t="s">
        <v>58</v>
      </c>
      <c r="E76" s="8">
        <v>3.0000000000000001E-3</v>
      </c>
      <c r="F76" s="8">
        <f>0.003*2</f>
        <v>6.0000000000000001E-3</v>
      </c>
      <c r="G76" s="8">
        <f>0.006/1.133</f>
        <v>5.2956751985878204E-3</v>
      </c>
    </row>
    <row r="77" spans="2:7" x14ac:dyDescent="0.25">
      <c r="B77" s="5"/>
      <c r="C77" s="8"/>
      <c r="D77" s="5"/>
      <c r="E77" s="8"/>
      <c r="F77" s="8"/>
      <c r="G77" s="8"/>
    </row>
    <row r="78" spans="2:7" x14ac:dyDescent="0.25">
      <c r="B78" s="2" t="s">
        <v>79</v>
      </c>
      <c r="C78" s="8"/>
      <c r="D78" s="5"/>
      <c r="E78" s="8"/>
      <c r="F78" s="8"/>
      <c r="G78" s="8"/>
    </row>
    <row r="79" spans="2:7" x14ac:dyDescent="0.25">
      <c r="B79" s="5" t="s">
        <v>80</v>
      </c>
      <c r="C79" s="8">
        <v>1</v>
      </c>
      <c r="D79" s="5" t="s">
        <v>58</v>
      </c>
      <c r="E79" s="8">
        <v>3.0000000000000001E-3</v>
      </c>
      <c r="F79" s="8">
        <f>0.003*1</f>
        <v>3.0000000000000001E-3</v>
      </c>
      <c r="G79" s="8">
        <f>0.003/1.133</f>
        <v>2.6478375992939102E-3</v>
      </c>
    </row>
    <row r="80" spans="2:7" x14ac:dyDescent="0.25">
      <c r="B80" s="5" t="s">
        <v>81</v>
      </c>
      <c r="C80" s="8">
        <v>2</v>
      </c>
      <c r="D80" s="5" t="s">
        <v>82</v>
      </c>
      <c r="E80" s="8">
        <v>2E-3</v>
      </c>
      <c r="F80" s="8">
        <f>0.002*2</f>
        <v>4.0000000000000001E-3</v>
      </c>
      <c r="G80" s="8">
        <f>0.004/1.133</f>
        <v>3.5304501323918801E-3</v>
      </c>
    </row>
    <row r="81" spans="2:7" x14ac:dyDescent="0.25">
      <c r="B81" s="5" t="s">
        <v>83</v>
      </c>
      <c r="C81" s="8">
        <v>3</v>
      </c>
      <c r="D81" s="5" t="s">
        <v>58</v>
      </c>
      <c r="E81" s="8">
        <v>3.0000000000000001E-3</v>
      </c>
      <c r="F81" s="8">
        <f>0.003*3</f>
        <v>9.0000000000000011E-3</v>
      </c>
      <c r="G81" s="8">
        <f>0.009/1.133</f>
        <v>7.9435127978817292E-3</v>
      </c>
    </row>
    <row r="82" spans="2:7" x14ac:dyDescent="0.25">
      <c r="B82" s="5" t="s">
        <v>84</v>
      </c>
      <c r="C82" s="8">
        <v>30</v>
      </c>
      <c r="D82" s="5" t="s">
        <v>85</v>
      </c>
      <c r="E82" s="8">
        <v>3.0000000000000001E-3</v>
      </c>
      <c r="F82" s="8">
        <f>0.003*30</f>
        <v>0.09</v>
      </c>
      <c r="G82" s="8">
        <f>0.09/1.133</f>
        <v>7.9435127978817299E-2</v>
      </c>
    </row>
    <row r="83" spans="2:7" x14ac:dyDescent="0.25">
      <c r="B83" s="5" t="s">
        <v>86</v>
      </c>
      <c r="C83" s="8">
        <v>160</v>
      </c>
      <c r="D83" s="5" t="s">
        <v>85</v>
      </c>
      <c r="E83" s="8">
        <v>3.0000000000000001E-3</v>
      </c>
      <c r="F83" s="8">
        <f>0.003*160</f>
        <v>0.48</v>
      </c>
      <c r="G83" s="8">
        <f>0.48/1.133</f>
        <v>0.42365401588702556</v>
      </c>
    </row>
    <row r="84" spans="2:7" x14ac:dyDescent="0.25">
      <c r="B84" s="5" t="s">
        <v>87</v>
      </c>
      <c r="C84" s="8">
        <v>10</v>
      </c>
      <c r="D84" s="5" t="s">
        <v>58</v>
      </c>
      <c r="E84" s="8">
        <v>3.0000000000000001E-3</v>
      </c>
      <c r="F84" s="8">
        <f>0.003*10</f>
        <v>0.03</v>
      </c>
      <c r="G84" s="8">
        <f>0.03/1.133</f>
        <v>2.6478375992939097E-2</v>
      </c>
    </row>
    <row r="85" spans="2:7" x14ac:dyDescent="0.25">
      <c r="B85" s="5" t="s">
        <v>88</v>
      </c>
      <c r="C85" s="8">
        <v>2</v>
      </c>
      <c r="D85" s="5" t="s">
        <v>58</v>
      </c>
      <c r="E85" s="8">
        <v>3.0000000000000001E-3</v>
      </c>
      <c r="F85" s="8">
        <f>0.003*2</f>
        <v>6.0000000000000001E-3</v>
      </c>
      <c r="G85" s="8">
        <f>0.006/1.133</f>
        <v>5.2956751985878204E-3</v>
      </c>
    </row>
    <row r="86" spans="2:7" x14ac:dyDescent="0.25">
      <c r="B86" s="5" t="s">
        <v>89</v>
      </c>
      <c r="C86" s="8">
        <v>8</v>
      </c>
      <c r="D86" s="5" t="s">
        <v>58</v>
      </c>
      <c r="E86" s="8">
        <v>3.0000000000000001E-3</v>
      </c>
      <c r="F86" s="8">
        <f>0.003*8</f>
        <v>2.4E-2</v>
      </c>
      <c r="G86" s="8">
        <f>0.024/1.133</f>
        <v>2.1182700794351281E-2</v>
      </c>
    </row>
    <row r="87" spans="2:7" x14ac:dyDescent="0.25">
      <c r="B87" s="5" t="s">
        <v>90</v>
      </c>
      <c r="C87" s="8">
        <v>2</v>
      </c>
      <c r="D87" s="5" t="s">
        <v>58</v>
      </c>
      <c r="E87" s="8">
        <v>3.0000000000000001E-3</v>
      </c>
      <c r="F87" s="8">
        <f>0.003*2</f>
        <v>6.0000000000000001E-3</v>
      </c>
      <c r="G87" s="8">
        <f>0.006/1.133</f>
        <v>5.2956751985878204E-3</v>
      </c>
    </row>
    <row r="88" spans="2:7" x14ac:dyDescent="0.25">
      <c r="B88" s="5" t="s">
        <v>91</v>
      </c>
      <c r="C88" s="8">
        <v>4</v>
      </c>
      <c r="D88" s="5" t="s">
        <v>58</v>
      </c>
      <c r="E88" s="8">
        <v>3.0000000000000001E-3</v>
      </c>
      <c r="F88" s="8">
        <f>0.003*4</f>
        <v>1.2E-2</v>
      </c>
      <c r="G88" s="8">
        <f>0.012/1.133</f>
        <v>1.0591350397175641E-2</v>
      </c>
    </row>
    <row r="89" spans="2:7" x14ac:dyDescent="0.25">
      <c r="B89" s="5" t="s">
        <v>175</v>
      </c>
      <c r="C89" s="8">
        <v>2</v>
      </c>
      <c r="D89" s="5" t="s">
        <v>58</v>
      </c>
      <c r="E89" s="8">
        <v>3.0000000000000001E-3</v>
      </c>
      <c r="F89" s="8">
        <f>0.003*2</f>
        <v>6.0000000000000001E-3</v>
      </c>
      <c r="G89" s="8">
        <f>0.006/1.133</f>
        <v>5.2956751985878204E-3</v>
      </c>
    </row>
    <row r="90" spans="2:7" x14ac:dyDescent="0.25">
      <c r="B90" s="5"/>
      <c r="C90" s="8"/>
      <c r="D90" s="5"/>
      <c r="E90" s="8"/>
      <c r="F90" s="8"/>
      <c r="G90" s="8"/>
    </row>
    <row r="91" spans="2:7" x14ac:dyDescent="0.25">
      <c r="B91" s="2" t="s">
        <v>92</v>
      </c>
      <c r="C91" s="8"/>
      <c r="D91" s="5"/>
      <c r="E91" s="8"/>
      <c r="F91" s="8"/>
      <c r="G91" s="8"/>
    </row>
    <row r="92" spans="2:7" x14ac:dyDescent="0.25">
      <c r="B92" s="5" t="s">
        <v>93</v>
      </c>
      <c r="C92" s="8">
        <v>48</v>
      </c>
      <c r="D92" s="5" t="s">
        <v>94</v>
      </c>
      <c r="E92" s="8">
        <v>1.4999999999999999E-2</v>
      </c>
      <c r="F92" s="8">
        <f>0.015*48</f>
        <v>0.72</v>
      </c>
      <c r="G92" s="8">
        <f>0.72/1.133</f>
        <v>0.63548102383053839</v>
      </c>
    </row>
    <row r="93" spans="2:7" x14ac:dyDescent="0.25">
      <c r="B93" s="5" t="s">
        <v>95</v>
      </c>
      <c r="C93" s="8">
        <v>39</v>
      </c>
      <c r="D93" s="5" t="s">
        <v>96</v>
      </c>
      <c r="E93" s="8">
        <v>0.04</v>
      </c>
      <c r="F93" s="8">
        <f>0.04*39</f>
        <v>1.56</v>
      </c>
      <c r="G93" s="8">
        <f>1.56/1.133</f>
        <v>1.3768755516328333</v>
      </c>
    </row>
    <row r="94" spans="2:7" x14ac:dyDescent="0.25">
      <c r="B94" s="5" t="s">
        <v>97</v>
      </c>
      <c r="C94" s="8">
        <v>2</v>
      </c>
      <c r="D94" s="5" t="s">
        <v>96</v>
      </c>
      <c r="E94" s="8">
        <v>0.02</v>
      </c>
      <c r="F94" s="8">
        <f>0.02*2</f>
        <v>0.04</v>
      </c>
      <c r="G94" s="8">
        <f>0.04/1.133</f>
        <v>3.5304501323918804E-2</v>
      </c>
    </row>
    <row r="95" spans="2:7" x14ac:dyDescent="0.25">
      <c r="B95" s="5"/>
      <c r="C95" s="8"/>
      <c r="D95" s="5"/>
      <c r="E95" s="8"/>
      <c r="F95" s="8"/>
      <c r="G95" s="8"/>
    </row>
    <row r="96" spans="2:7" x14ac:dyDescent="0.25">
      <c r="B96" s="2" t="s">
        <v>98</v>
      </c>
      <c r="C96" s="8"/>
      <c r="D96" s="5"/>
      <c r="E96" s="8"/>
      <c r="F96" s="8"/>
      <c r="G96" s="8"/>
    </row>
    <row r="97" spans="2:7" x14ac:dyDescent="0.25">
      <c r="B97" s="5" t="s">
        <v>99</v>
      </c>
      <c r="C97" s="8">
        <v>19</v>
      </c>
      <c r="D97" s="5" t="s">
        <v>100</v>
      </c>
      <c r="E97" s="8">
        <v>5.0000000000000001E-3</v>
      </c>
      <c r="F97" s="8">
        <f>0.005*19</f>
        <v>9.5000000000000001E-2</v>
      </c>
      <c r="G97" s="8">
        <f>0.095/1.133</f>
        <v>8.3848190644307152E-2</v>
      </c>
    </row>
    <row r="98" spans="2:7" x14ac:dyDescent="0.25">
      <c r="B98" s="5" t="s">
        <v>101</v>
      </c>
      <c r="C98" s="8">
        <v>11</v>
      </c>
      <c r="D98" s="5" t="s">
        <v>100</v>
      </c>
      <c r="E98" s="8">
        <v>5.0000000000000001E-3</v>
      </c>
      <c r="F98" s="8">
        <f>0.005*11</f>
        <v>5.5E-2</v>
      </c>
      <c r="G98" s="8">
        <f>0.055/1.133</f>
        <v>4.8543689320388349E-2</v>
      </c>
    </row>
    <row r="99" spans="2:7" x14ac:dyDescent="0.25">
      <c r="B99" s="5" t="s">
        <v>102</v>
      </c>
      <c r="C99" s="8">
        <v>10</v>
      </c>
      <c r="D99" s="5" t="s">
        <v>100</v>
      </c>
      <c r="E99" s="8">
        <v>5.0000000000000001E-3</v>
      </c>
      <c r="F99" s="8">
        <f>0.005*10</f>
        <v>0.05</v>
      </c>
      <c r="G99" s="8">
        <f>0.05/1.133</f>
        <v>4.4130626654898503E-2</v>
      </c>
    </row>
    <row r="100" spans="2:7" x14ac:dyDescent="0.25">
      <c r="B100" s="5" t="s">
        <v>103</v>
      </c>
      <c r="C100" s="8">
        <v>11</v>
      </c>
      <c r="D100" s="5" t="s">
        <v>100</v>
      </c>
      <c r="E100" s="8">
        <v>5.0000000000000001E-3</v>
      </c>
      <c r="F100" s="8">
        <f>0.005*11</f>
        <v>5.5E-2</v>
      </c>
      <c r="G100" s="8">
        <f>0.055/1.133</f>
        <v>4.8543689320388349E-2</v>
      </c>
    </row>
    <row r="101" spans="2:7" x14ac:dyDescent="0.25">
      <c r="B101" s="5" t="s">
        <v>104</v>
      </c>
      <c r="C101" s="8">
        <v>2</v>
      </c>
      <c r="D101" s="5" t="s">
        <v>100</v>
      </c>
      <c r="E101" s="8">
        <v>5.0000000000000001E-3</v>
      </c>
      <c r="F101" s="8">
        <f>0.005*2</f>
        <v>0.01</v>
      </c>
      <c r="G101" s="8">
        <f>0.01/1.133</f>
        <v>8.8261253309797009E-3</v>
      </c>
    </row>
    <row r="102" spans="2:7" x14ac:dyDescent="0.25">
      <c r="B102" s="5" t="s">
        <v>105</v>
      </c>
      <c r="C102" s="8">
        <v>3</v>
      </c>
      <c r="D102" s="5" t="s">
        <v>100</v>
      </c>
      <c r="E102" s="8">
        <v>5.0000000000000001E-3</v>
      </c>
      <c r="F102" s="8">
        <f>0.005*3</f>
        <v>1.4999999999999999E-2</v>
      </c>
      <c r="G102" s="8">
        <f>0.015/1.133</f>
        <v>1.3239187996469549E-2</v>
      </c>
    </row>
    <row r="103" spans="2:7" x14ac:dyDescent="0.25">
      <c r="B103" s="5" t="s">
        <v>106</v>
      </c>
      <c r="C103" s="8">
        <v>4</v>
      </c>
      <c r="D103" s="5" t="s">
        <v>58</v>
      </c>
      <c r="E103" s="8">
        <v>3.0000000000000001E-3</v>
      </c>
      <c r="F103" s="8">
        <f>0.003*4</f>
        <v>1.2E-2</v>
      </c>
      <c r="G103" s="8">
        <f>0.012/1.133</f>
        <v>1.0591350397175641E-2</v>
      </c>
    </row>
    <row r="104" spans="2:7" x14ac:dyDescent="0.25">
      <c r="B104" s="5" t="s">
        <v>107</v>
      </c>
      <c r="C104" s="8">
        <v>4</v>
      </c>
      <c r="D104" s="5" t="s">
        <v>58</v>
      </c>
      <c r="E104" s="8">
        <v>3.0000000000000001E-3</v>
      </c>
      <c r="F104" s="8">
        <f>0.003*4</f>
        <v>1.2E-2</v>
      </c>
      <c r="G104" s="8">
        <f>0.012/1.133</f>
        <v>1.0591350397175641E-2</v>
      </c>
    </row>
    <row r="105" spans="2:7" x14ac:dyDescent="0.25">
      <c r="B105" s="5" t="s">
        <v>108</v>
      </c>
      <c r="C105" s="8">
        <v>5</v>
      </c>
      <c r="D105" s="5" t="s">
        <v>109</v>
      </c>
      <c r="E105" s="8">
        <v>3.0000000000000001E-3</v>
      </c>
      <c r="F105" s="8">
        <f>0.003*5</f>
        <v>1.4999999999999999E-2</v>
      </c>
      <c r="G105" s="8">
        <f>0.015/1.133</f>
        <v>1.3239187996469549E-2</v>
      </c>
    </row>
    <row r="106" spans="2:7" x14ac:dyDescent="0.25">
      <c r="B106" s="5"/>
      <c r="C106" s="8"/>
      <c r="D106" s="5"/>
      <c r="E106" s="8"/>
      <c r="F106" s="8"/>
      <c r="G106" s="8"/>
    </row>
    <row r="107" spans="2:7" x14ac:dyDescent="0.25">
      <c r="B107" s="2" t="s">
        <v>110</v>
      </c>
      <c r="C107" s="8"/>
      <c r="D107" s="5"/>
      <c r="E107" s="8"/>
      <c r="F107" s="8"/>
      <c r="G107" s="8"/>
    </row>
    <row r="108" spans="2:7" ht="45" x14ac:dyDescent="0.25">
      <c r="B108" s="5" t="s">
        <v>111</v>
      </c>
      <c r="C108" s="8" t="s">
        <v>170</v>
      </c>
      <c r="D108" s="5" t="s">
        <v>58</v>
      </c>
      <c r="E108" s="8">
        <v>0.08</v>
      </c>
      <c r="F108" s="8">
        <f>0.08*11</f>
        <v>0.88</v>
      </c>
      <c r="G108" s="8">
        <f>0.88/1.133</f>
        <v>0.77669902912621358</v>
      </c>
    </row>
    <row r="109" spans="2:7" x14ac:dyDescent="0.25">
      <c r="B109" s="5" t="s">
        <v>112</v>
      </c>
      <c r="C109" s="8">
        <v>10</v>
      </c>
      <c r="D109" s="5" t="s">
        <v>113</v>
      </c>
      <c r="E109" s="8">
        <v>0.112</v>
      </c>
      <c r="F109" s="8">
        <f>0.112*10</f>
        <v>1.1200000000000001</v>
      </c>
      <c r="G109" s="8">
        <f>1.12/1.133</f>
        <v>0.98852603706972653</v>
      </c>
    </row>
    <row r="110" spans="2:7" x14ac:dyDescent="0.25">
      <c r="B110" s="6" t="s">
        <v>11</v>
      </c>
      <c r="C110" s="9">
        <v>11</v>
      </c>
      <c r="D110" s="5" t="s">
        <v>82</v>
      </c>
      <c r="E110" s="8">
        <v>1.4999999999999999E-2</v>
      </c>
      <c r="F110" s="8">
        <f>0.015*11</f>
        <v>0.16499999999999998</v>
      </c>
      <c r="G110" s="8">
        <f>0.165/1.133</f>
        <v>0.14563106796116507</v>
      </c>
    </row>
    <row r="111" spans="2:7" x14ac:dyDescent="0.25">
      <c r="B111" s="5" t="s">
        <v>114</v>
      </c>
      <c r="C111" s="8">
        <v>3</v>
      </c>
      <c r="D111" s="5" t="s">
        <v>115</v>
      </c>
      <c r="E111" s="8">
        <v>3.0000000000000001E-3</v>
      </c>
      <c r="F111" s="8">
        <f>0.003*3</f>
        <v>9.0000000000000011E-3</v>
      </c>
      <c r="G111" s="8">
        <f>0.009/1.133</f>
        <v>7.9435127978817292E-3</v>
      </c>
    </row>
    <row r="112" spans="2:7" x14ac:dyDescent="0.25">
      <c r="B112" s="5"/>
      <c r="C112" s="8"/>
      <c r="D112" s="5"/>
      <c r="E112" s="8"/>
      <c r="F112" s="8"/>
      <c r="G112" s="3">
        <f>SUM(G5:G111)</f>
        <v>32.635481023830543</v>
      </c>
    </row>
    <row r="113" spans="7:7" x14ac:dyDescent="0.25">
      <c r="G11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B7A26-179E-4F9E-91F4-2657140B2B8E}">
  <dimension ref="B1:G33"/>
  <sheetViews>
    <sheetView topLeftCell="A17" workbookViewId="0">
      <selection activeCell="B10" sqref="B10"/>
    </sheetView>
  </sheetViews>
  <sheetFormatPr defaultRowHeight="15" x14ac:dyDescent="0.25"/>
  <cols>
    <col min="2" max="2" width="43.5703125" style="4" customWidth="1"/>
    <col min="3" max="3" width="12.42578125" style="7" customWidth="1"/>
    <col min="4" max="4" width="9.140625" style="11"/>
    <col min="5" max="5" width="10.7109375" style="12" customWidth="1"/>
    <col min="6" max="6" width="11.140625" style="12" customWidth="1"/>
    <col min="7" max="7" width="12.5703125" style="12" customWidth="1"/>
    <col min="8" max="8" width="15.28515625" customWidth="1"/>
  </cols>
  <sheetData>
    <row r="1" spans="2:7" ht="45" x14ac:dyDescent="0.25">
      <c r="B1" s="2" t="s">
        <v>0</v>
      </c>
      <c r="C1" s="3" t="s">
        <v>1</v>
      </c>
      <c r="D1" s="13" t="s">
        <v>2</v>
      </c>
      <c r="E1" s="14" t="s">
        <v>167</v>
      </c>
      <c r="F1" s="14" t="s">
        <v>168</v>
      </c>
      <c r="G1" s="14" t="s">
        <v>169</v>
      </c>
    </row>
    <row r="2" spans="2:7" x14ac:dyDescent="0.25">
      <c r="B2" s="5" t="s">
        <v>116</v>
      </c>
      <c r="C2" s="8">
        <v>60</v>
      </c>
      <c r="D2" s="15" t="s">
        <v>12</v>
      </c>
      <c r="E2" s="16">
        <v>6.0000000000000001E-3</v>
      </c>
      <c r="F2" s="16">
        <f>0.006*60</f>
        <v>0.36</v>
      </c>
      <c r="G2" s="16">
        <f>0.36/1.133</f>
        <v>0.3177405119152692</v>
      </c>
    </row>
    <row r="3" spans="2:7" x14ac:dyDescent="0.25">
      <c r="B3" s="5" t="s">
        <v>117</v>
      </c>
      <c r="C3" s="8">
        <v>30</v>
      </c>
      <c r="D3" s="15" t="s">
        <v>12</v>
      </c>
      <c r="E3" s="16">
        <v>1.7000000000000001E-2</v>
      </c>
      <c r="F3" s="16">
        <f>0.017*30</f>
        <v>0.51</v>
      </c>
      <c r="G3" s="16">
        <f>0.51/1.133</f>
        <v>0.45013239187996468</v>
      </c>
    </row>
    <row r="4" spans="2:7" x14ac:dyDescent="0.25">
      <c r="B4" s="5" t="s">
        <v>118</v>
      </c>
      <c r="C4" s="8">
        <v>7</v>
      </c>
      <c r="D4" s="15" t="s">
        <v>10</v>
      </c>
      <c r="E4" s="16">
        <v>3.9E-2</v>
      </c>
      <c r="F4" s="16">
        <f>0.039*7</f>
        <v>0.27300000000000002</v>
      </c>
      <c r="G4" s="16">
        <f>0.273/1.133</f>
        <v>0.24095322153574583</v>
      </c>
    </row>
    <row r="5" spans="2:7" x14ac:dyDescent="0.25">
      <c r="B5" s="5" t="s">
        <v>119</v>
      </c>
      <c r="C5" s="8">
        <v>10</v>
      </c>
      <c r="D5" s="15" t="s">
        <v>10</v>
      </c>
      <c r="E5" s="16">
        <v>7.3999999999999996E-2</v>
      </c>
      <c r="F5" s="16">
        <f>0.074*10</f>
        <v>0.74</v>
      </c>
      <c r="G5" s="16">
        <f>0.74/1.133</f>
        <v>0.65313327449249781</v>
      </c>
    </row>
    <row r="6" spans="2:7" x14ac:dyDescent="0.25">
      <c r="B6" s="5" t="s">
        <v>173</v>
      </c>
      <c r="C6" s="8">
        <v>40</v>
      </c>
      <c r="D6" s="15" t="s">
        <v>58</v>
      </c>
      <c r="E6" s="16">
        <v>3.0000000000000001E-3</v>
      </c>
      <c r="F6" s="16">
        <f>0.003*40</f>
        <v>0.12</v>
      </c>
      <c r="G6" s="16">
        <f>0.12/1.133</f>
        <v>0.10591350397175639</v>
      </c>
    </row>
    <row r="7" spans="2:7" x14ac:dyDescent="0.25">
      <c r="B7" s="5" t="s">
        <v>120</v>
      </c>
      <c r="C7" s="8">
        <v>30</v>
      </c>
      <c r="D7" s="15" t="s">
        <v>14</v>
      </c>
      <c r="E7" s="16">
        <v>3.0000000000000001E-3</v>
      </c>
      <c r="F7" s="16">
        <f>0.003*30</f>
        <v>0.09</v>
      </c>
      <c r="G7" s="16">
        <f>0.09/1.133</f>
        <v>7.9435127978817299E-2</v>
      </c>
    </row>
    <row r="8" spans="2:7" x14ac:dyDescent="0.25">
      <c r="B8" s="5" t="s">
        <v>121</v>
      </c>
      <c r="C8" s="8">
        <v>4</v>
      </c>
      <c r="D8" s="15" t="s">
        <v>14</v>
      </c>
      <c r="E8" s="16">
        <v>3.0000000000000001E-3</v>
      </c>
      <c r="F8" s="16">
        <f>0.003*4</f>
        <v>1.2E-2</v>
      </c>
      <c r="G8" s="16">
        <f>0.012/1.133</f>
        <v>1.0591350397175641E-2</v>
      </c>
    </row>
    <row r="9" spans="2:7" x14ac:dyDescent="0.25">
      <c r="B9" s="5" t="s">
        <v>122</v>
      </c>
      <c r="C9" s="8">
        <v>7</v>
      </c>
      <c r="D9" s="15" t="s">
        <v>14</v>
      </c>
      <c r="E9" s="16">
        <v>3.0000000000000001E-3</v>
      </c>
      <c r="F9" s="16">
        <f>0.003*7</f>
        <v>2.1000000000000001E-2</v>
      </c>
      <c r="G9" s="16">
        <f>0.021/1.133</f>
        <v>1.8534863195057372E-2</v>
      </c>
    </row>
    <row r="10" spans="2:7" x14ac:dyDescent="0.25">
      <c r="B10" s="5" t="s">
        <v>123</v>
      </c>
      <c r="C10" s="8">
        <v>4</v>
      </c>
      <c r="D10" s="15" t="s">
        <v>14</v>
      </c>
      <c r="E10" s="16">
        <v>3.0000000000000001E-3</v>
      </c>
      <c r="F10" s="16">
        <f>0.003*4</f>
        <v>1.2E-2</v>
      </c>
      <c r="G10" s="16">
        <f>0.012/1.133</f>
        <v>1.0591350397175641E-2</v>
      </c>
    </row>
    <row r="11" spans="2:7" x14ac:dyDescent="0.25">
      <c r="B11" s="5" t="s">
        <v>124</v>
      </c>
      <c r="C11" s="8">
        <v>7</v>
      </c>
      <c r="D11" s="15" t="s">
        <v>14</v>
      </c>
      <c r="E11" s="16">
        <v>3.0000000000000001E-3</v>
      </c>
      <c r="F11" s="16">
        <f>0.003*7</f>
        <v>2.1000000000000001E-2</v>
      </c>
      <c r="G11" s="16">
        <f>0.021/1.133</f>
        <v>1.8534863195057372E-2</v>
      </c>
    </row>
    <row r="12" spans="2:7" x14ac:dyDescent="0.25">
      <c r="B12" s="5" t="s">
        <v>125</v>
      </c>
      <c r="C12" s="8">
        <v>6</v>
      </c>
      <c r="D12" s="15" t="s">
        <v>14</v>
      </c>
      <c r="E12" s="16">
        <v>3.0000000000000001E-3</v>
      </c>
      <c r="F12" s="16">
        <f>0.003*6</f>
        <v>1.8000000000000002E-2</v>
      </c>
      <c r="G12" s="16">
        <f>0.018/1.133</f>
        <v>1.5887025595763458E-2</v>
      </c>
    </row>
    <row r="13" spans="2:7" x14ac:dyDescent="0.25">
      <c r="B13" s="5" t="s">
        <v>127</v>
      </c>
      <c r="C13" s="8">
        <v>6</v>
      </c>
      <c r="D13" s="15" t="s">
        <v>126</v>
      </c>
      <c r="E13" s="16">
        <v>3.0000000000000001E-3</v>
      </c>
      <c r="F13" s="16">
        <f>0.003*6</f>
        <v>1.8000000000000002E-2</v>
      </c>
      <c r="G13" s="16">
        <f>0.018/1.133</f>
        <v>1.5887025595763458E-2</v>
      </c>
    </row>
    <row r="14" spans="2:7" ht="45" x14ac:dyDescent="0.25">
      <c r="B14" s="5" t="s">
        <v>128</v>
      </c>
      <c r="C14" s="8" t="s">
        <v>176</v>
      </c>
      <c r="D14" s="15" t="s">
        <v>14</v>
      </c>
      <c r="E14" s="16">
        <v>8.5999999999999993E-2</v>
      </c>
      <c r="F14" s="16">
        <f>0.086*275</f>
        <v>23.65</v>
      </c>
      <c r="G14" s="16">
        <f>23.65/1.133</f>
        <v>20.873786407766989</v>
      </c>
    </row>
    <row r="15" spans="2:7" x14ac:dyDescent="0.25">
      <c r="B15" s="5" t="s">
        <v>129</v>
      </c>
      <c r="C15" s="8">
        <v>6</v>
      </c>
      <c r="D15" s="15" t="s">
        <v>130</v>
      </c>
      <c r="E15" s="16">
        <v>3.0000000000000001E-3</v>
      </c>
      <c r="F15" s="16">
        <f>0.003*6</f>
        <v>1.8000000000000002E-2</v>
      </c>
      <c r="G15" s="16">
        <f>0.018/1.133</f>
        <v>1.5887025595763458E-2</v>
      </c>
    </row>
    <row r="16" spans="2:7" x14ac:dyDescent="0.25">
      <c r="B16" s="5" t="s">
        <v>131</v>
      </c>
      <c r="C16" s="8">
        <v>50</v>
      </c>
      <c r="D16" s="15" t="s">
        <v>12</v>
      </c>
      <c r="E16" s="16">
        <v>6.0000000000000001E-3</v>
      </c>
      <c r="F16" s="16">
        <f>0.006*50</f>
        <v>0.3</v>
      </c>
      <c r="G16" s="16">
        <f>0.3/1.133</f>
        <v>0.26478375992939096</v>
      </c>
    </row>
    <row r="17" spans="2:7" x14ac:dyDescent="0.25">
      <c r="B17" s="5" t="s">
        <v>132</v>
      </c>
      <c r="C17" s="8">
        <v>17</v>
      </c>
      <c r="D17" s="15" t="s">
        <v>12</v>
      </c>
      <c r="E17" s="16">
        <v>1.4999999999999999E-2</v>
      </c>
      <c r="F17" s="16">
        <f>0.015*17</f>
        <v>0.255</v>
      </c>
      <c r="G17" s="16">
        <f>0.255/1.133</f>
        <v>0.22506619593998234</v>
      </c>
    </row>
    <row r="18" spans="2:7" x14ac:dyDescent="0.25">
      <c r="B18" s="5" t="s">
        <v>133</v>
      </c>
      <c r="C18" s="8">
        <v>7</v>
      </c>
      <c r="D18" s="15" t="s">
        <v>63</v>
      </c>
      <c r="E18" s="16">
        <v>0.01</v>
      </c>
      <c r="F18" s="16">
        <f>0.01*7</f>
        <v>7.0000000000000007E-2</v>
      </c>
      <c r="G18" s="16">
        <f>0.07/1.133</f>
        <v>6.1782877316857908E-2</v>
      </c>
    </row>
    <row r="19" spans="2:7" x14ac:dyDescent="0.25">
      <c r="B19" s="5" t="s">
        <v>134</v>
      </c>
      <c r="C19" s="8">
        <v>12</v>
      </c>
      <c r="D19" s="15" t="s">
        <v>63</v>
      </c>
      <c r="E19" s="16">
        <v>1.2E-2</v>
      </c>
      <c r="F19" s="16">
        <f>0.012*12</f>
        <v>0.14400000000000002</v>
      </c>
      <c r="G19" s="16">
        <f>0.144/1.133</f>
        <v>0.12709620476610767</v>
      </c>
    </row>
    <row r="20" spans="2:7" ht="30" x14ac:dyDescent="0.25">
      <c r="B20" s="16" t="s">
        <v>174</v>
      </c>
      <c r="C20" s="8">
        <v>34</v>
      </c>
      <c r="D20" s="15" t="s">
        <v>63</v>
      </c>
      <c r="E20" s="16">
        <v>1.4999999999999999E-2</v>
      </c>
      <c r="F20" s="16">
        <f>0.015*34</f>
        <v>0.51</v>
      </c>
      <c r="G20" s="16">
        <f>0.51/1.133</f>
        <v>0.45013239187996468</v>
      </c>
    </row>
    <row r="21" spans="2:7" x14ac:dyDescent="0.25">
      <c r="B21" s="5" t="s">
        <v>135</v>
      </c>
      <c r="C21" s="8">
        <v>14</v>
      </c>
      <c r="D21" s="15" t="s">
        <v>63</v>
      </c>
      <c r="E21" s="16">
        <v>6.0000000000000001E-3</v>
      </c>
      <c r="F21" s="16">
        <f>0.006*14</f>
        <v>8.4000000000000005E-2</v>
      </c>
      <c r="G21" s="16">
        <f>0.084/1.133</f>
        <v>7.4139452780229487E-2</v>
      </c>
    </row>
    <row r="22" spans="2:7" x14ac:dyDescent="0.25">
      <c r="B22" s="5" t="s">
        <v>136</v>
      </c>
      <c r="C22" s="8">
        <v>40</v>
      </c>
      <c r="D22" s="15" t="s">
        <v>63</v>
      </c>
      <c r="E22" s="16">
        <v>8.0000000000000002E-3</v>
      </c>
      <c r="F22" s="16">
        <f>0.008*40</f>
        <v>0.32</v>
      </c>
      <c r="G22" s="16">
        <f>0.32/1.133</f>
        <v>0.28243601059135043</v>
      </c>
    </row>
    <row r="23" spans="2:7" x14ac:dyDescent="0.25">
      <c r="B23" s="5" t="s">
        <v>137</v>
      </c>
      <c r="C23" s="8">
        <v>24</v>
      </c>
      <c r="D23" s="15" t="s">
        <v>63</v>
      </c>
      <c r="E23" s="16">
        <v>8.9999999999999993E-3</v>
      </c>
      <c r="F23" s="16">
        <f>0.009*24</f>
        <v>0.21599999999999997</v>
      </c>
      <c r="G23" s="16">
        <f>0.216/1.133</f>
        <v>0.1906443071491615</v>
      </c>
    </row>
    <row r="24" spans="2:7" x14ac:dyDescent="0.25">
      <c r="B24" s="5" t="s">
        <v>138</v>
      </c>
      <c r="C24" s="8">
        <v>25</v>
      </c>
      <c r="D24" s="15" t="s">
        <v>14</v>
      </c>
      <c r="E24" s="16">
        <v>3.0000000000000001E-3</v>
      </c>
      <c r="F24" s="16">
        <f>0.003*25</f>
        <v>7.4999999999999997E-2</v>
      </c>
      <c r="G24" s="16">
        <f>0.075/1.133</f>
        <v>6.619593998234774E-2</v>
      </c>
    </row>
    <row r="25" spans="2:7" x14ac:dyDescent="0.25">
      <c r="B25" s="5" t="s">
        <v>139</v>
      </c>
      <c r="C25" s="8">
        <v>10</v>
      </c>
      <c r="D25" s="15" t="s">
        <v>18</v>
      </c>
      <c r="E25" s="16">
        <v>1.4999999999999999E-2</v>
      </c>
      <c r="F25" s="16">
        <f>0.015*10</f>
        <v>0.15</v>
      </c>
      <c r="G25" s="16">
        <f>0.15/1.133</f>
        <v>0.13239187996469548</v>
      </c>
    </row>
    <row r="26" spans="2:7" x14ac:dyDescent="0.25">
      <c r="B26" s="5" t="s">
        <v>140</v>
      </c>
      <c r="C26" s="8">
        <v>16</v>
      </c>
      <c r="D26" s="15" t="s">
        <v>10</v>
      </c>
      <c r="E26" s="16">
        <v>0.112</v>
      </c>
      <c r="F26" s="16">
        <f>0.112*16</f>
        <v>1.792</v>
      </c>
      <c r="G26" s="16">
        <f>1.792/1.133</f>
        <v>1.5816416593115623</v>
      </c>
    </row>
    <row r="27" spans="2:7" x14ac:dyDescent="0.25">
      <c r="B27" s="5" t="s">
        <v>141</v>
      </c>
      <c r="C27" s="8">
        <v>21</v>
      </c>
      <c r="D27" s="15" t="s">
        <v>142</v>
      </c>
      <c r="E27" s="16">
        <v>8.9999999999999993E-3</v>
      </c>
      <c r="F27" s="16">
        <f>0.009*21</f>
        <v>0.18899999999999997</v>
      </c>
      <c r="G27" s="16">
        <f>0.189/1.133</f>
        <v>0.16681376875551632</v>
      </c>
    </row>
    <row r="28" spans="2:7" x14ac:dyDescent="0.25">
      <c r="B28" s="5" t="s">
        <v>143</v>
      </c>
      <c r="C28" s="8">
        <v>63</v>
      </c>
      <c r="D28" s="15" t="s">
        <v>12</v>
      </c>
      <c r="E28" s="16">
        <v>0.03</v>
      </c>
      <c r="F28" s="16">
        <f>0.03*63</f>
        <v>1.89</v>
      </c>
      <c r="G28" s="16">
        <f>1.89/1.133</f>
        <v>1.6681376875551632</v>
      </c>
    </row>
    <row r="29" spans="2:7" x14ac:dyDescent="0.25">
      <c r="B29" s="5" t="s">
        <v>144</v>
      </c>
      <c r="C29" s="8">
        <v>40</v>
      </c>
      <c r="D29" s="15" t="s">
        <v>12</v>
      </c>
      <c r="E29" s="16">
        <v>4.4999999999999998E-2</v>
      </c>
      <c r="F29" s="16">
        <f>0.045*40</f>
        <v>1.7999999999999998</v>
      </c>
      <c r="G29" s="16">
        <f>1.8/1.133</f>
        <v>1.588702559576346</v>
      </c>
    </row>
    <row r="30" spans="2:7" x14ac:dyDescent="0.25">
      <c r="B30" s="5" t="s">
        <v>145</v>
      </c>
      <c r="C30" s="8">
        <v>16</v>
      </c>
      <c r="D30" s="15" t="s">
        <v>12</v>
      </c>
      <c r="E30" s="16">
        <v>0.03</v>
      </c>
      <c r="F30" s="16">
        <f>0.03*16</f>
        <v>0.48</v>
      </c>
      <c r="G30" s="16">
        <f>0.48/1.133</f>
        <v>0.42365401588702556</v>
      </c>
    </row>
    <row r="31" spans="2:7" ht="45" x14ac:dyDescent="0.25">
      <c r="B31" s="5" t="s">
        <v>146</v>
      </c>
      <c r="C31" s="8" t="s">
        <v>178</v>
      </c>
      <c r="D31" s="15" t="s">
        <v>12</v>
      </c>
      <c r="E31" s="16">
        <v>0.06</v>
      </c>
      <c r="F31" s="16">
        <f>0.06*30</f>
        <v>1.7999999999999998</v>
      </c>
      <c r="G31" s="16">
        <f>1.8/1.133</f>
        <v>1.588702559576346</v>
      </c>
    </row>
    <row r="32" spans="2:7" x14ac:dyDescent="0.25">
      <c r="B32" s="5" t="s">
        <v>147</v>
      </c>
      <c r="C32" s="8">
        <v>47</v>
      </c>
      <c r="D32" s="15" t="s">
        <v>12</v>
      </c>
      <c r="E32" s="16">
        <v>1.4999999999999999E-2</v>
      </c>
      <c r="F32" s="16">
        <f>0.015*47</f>
        <v>0.70499999999999996</v>
      </c>
      <c r="G32" s="16">
        <f>0.705/1.133</f>
        <v>0.62224183583406878</v>
      </c>
    </row>
    <row r="33" spans="2:7" x14ac:dyDescent="0.25">
      <c r="B33" s="5"/>
      <c r="C33" s="8"/>
      <c r="D33" s="15"/>
      <c r="E33" s="16"/>
      <c r="F33" s="16"/>
      <c r="G33" s="14">
        <f>SUM(G2:G32)</f>
        <v>32.341571050308914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CAE1E-A741-4B23-9310-A346F3C7F9A6}">
  <dimension ref="B1:G20"/>
  <sheetViews>
    <sheetView tabSelected="1" topLeftCell="A3" workbookViewId="0">
      <selection activeCell="J4" sqref="J4"/>
    </sheetView>
  </sheetViews>
  <sheetFormatPr defaultRowHeight="15" x14ac:dyDescent="0.25"/>
  <cols>
    <col min="2" max="2" width="26.140625" style="5" customWidth="1"/>
    <col min="3" max="3" width="10.85546875" style="8" customWidth="1"/>
    <col min="4" max="4" width="9.140625" style="8"/>
    <col min="5" max="5" width="13.140625" style="8" customWidth="1"/>
    <col min="6" max="6" width="13.7109375" style="8" customWidth="1"/>
    <col min="7" max="7" width="12.5703125" style="8" customWidth="1"/>
  </cols>
  <sheetData>
    <row r="1" spans="2:7" ht="45" x14ac:dyDescent="0.25">
      <c r="B1" s="2" t="s">
        <v>0</v>
      </c>
      <c r="C1" s="3" t="s">
        <v>1</v>
      </c>
      <c r="D1" s="3" t="s">
        <v>2</v>
      </c>
      <c r="E1" s="3" t="s">
        <v>167</v>
      </c>
      <c r="F1" s="3" t="s">
        <v>168</v>
      </c>
      <c r="G1" s="3" t="s">
        <v>169</v>
      </c>
    </row>
    <row r="3" spans="2:7" x14ac:dyDescent="0.25">
      <c r="B3" s="5" t="s">
        <v>148</v>
      </c>
      <c r="C3" s="8">
        <v>850</v>
      </c>
      <c r="D3" s="8" t="s">
        <v>4</v>
      </c>
      <c r="E3" s="8">
        <v>8.5999999999999993E-2</v>
      </c>
      <c r="F3" s="8">
        <f>0.086*850</f>
        <v>73.099999999999994</v>
      </c>
      <c r="G3" s="8">
        <f>73.1/1.133</f>
        <v>64.518976169461595</v>
      </c>
    </row>
    <row r="4" spans="2:7" x14ac:dyDescent="0.25">
      <c r="B4" s="5" t="s">
        <v>149</v>
      </c>
      <c r="C4" s="8">
        <v>1</v>
      </c>
      <c r="D4" s="8" t="s">
        <v>18</v>
      </c>
      <c r="E4" s="8">
        <v>1.0149999999999999</v>
      </c>
      <c r="F4" s="8">
        <f>1.015*1</f>
        <v>1.0149999999999999</v>
      </c>
      <c r="G4" s="8">
        <f>1.015/1.133</f>
        <v>0.89585172109443945</v>
      </c>
    </row>
    <row r="5" spans="2:7" ht="45" x14ac:dyDescent="0.25">
      <c r="B5" s="5" t="s">
        <v>150</v>
      </c>
      <c r="C5" s="8" t="s">
        <v>171</v>
      </c>
      <c r="D5" s="8" t="s">
        <v>172</v>
      </c>
      <c r="E5" s="8">
        <v>2.1999999999999999E-2</v>
      </c>
      <c r="F5" s="8">
        <f>0.022*17</f>
        <v>0.374</v>
      </c>
      <c r="G5" s="8">
        <f>0.374/1.133</f>
        <v>0.3300970873786408</v>
      </c>
    </row>
    <row r="6" spans="2:7" x14ac:dyDescent="0.25">
      <c r="B6" s="5" t="s">
        <v>152</v>
      </c>
      <c r="C6" s="8">
        <v>9</v>
      </c>
      <c r="D6" s="8" t="s">
        <v>153</v>
      </c>
      <c r="E6" s="8">
        <v>0.06</v>
      </c>
      <c r="F6" s="8">
        <f>0.06*9</f>
        <v>0.54</v>
      </c>
      <c r="G6" s="8">
        <f>0.54/1.133</f>
        <v>0.47661076787290385</v>
      </c>
    </row>
    <row r="7" spans="2:7" x14ac:dyDescent="0.25">
      <c r="B7" s="5" t="s">
        <v>154</v>
      </c>
      <c r="C7" s="8">
        <v>15</v>
      </c>
      <c r="D7" s="8" t="s">
        <v>12</v>
      </c>
      <c r="E7" s="8">
        <v>2.3E-2</v>
      </c>
      <c r="F7" s="8">
        <f>0.023*15</f>
        <v>0.34499999999999997</v>
      </c>
      <c r="G7" s="8">
        <f>0.345/1.133</f>
        <v>0.30450132391879964</v>
      </c>
    </row>
    <row r="8" spans="2:7" x14ac:dyDescent="0.25">
      <c r="B8" s="5" t="s">
        <v>155</v>
      </c>
      <c r="C8" s="8">
        <v>5</v>
      </c>
      <c r="D8" s="8" t="s">
        <v>14</v>
      </c>
      <c r="E8" s="8">
        <v>3.0000000000000001E-3</v>
      </c>
      <c r="F8" s="8">
        <f>0.003*5</f>
        <v>1.4999999999999999E-2</v>
      </c>
      <c r="G8" s="8">
        <f>0.015/1.133</f>
        <v>1.3239187996469549E-2</v>
      </c>
    </row>
    <row r="9" spans="2:7" x14ac:dyDescent="0.25">
      <c r="B9" s="5" t="s">
        <v>156</v>
      </c>
      <c r="C9" s="8">
        <v>2</v>
      </c>
      <c r="D9" s="8" t="s">
        <v>14</v>
      </c>
      <c r="E9" s="8">
        <v>3.0000000000000001E-3</v>
      </c>
      <c r="F9" s="8">
        <f>0.003*2</f>
        <v>6.0000000000000001E-3</v>
      </c>
      <c r="G9" s="8">
        <f>0.006/1.133</f>
        <v>5.2956751985878204E-3</v>
      </c>
    </row>
    <row r="10" spans="2:7" x14ac:dyDescent="0.25">
      <c r="B10" s="5" t="s">
        <v>157</v>
      </c>
      <c r="C10" s="8">
        <v>2</v>
      </c>
      <c r="D10" s="8" t="s">
        <v>14</v>
      </c>
      <c r="E10" s="8">
        <v>3.0000000000000001E-3</v>
      </c>
      <c r="F10" s="8">
        <f>0.003*2</f>
        <v>6.0000000000000001E-3</v>
      </c>
      <c r="G10" s="8">
        <f>0.006/1.133</f>
        <v>5.2956751985878204E-3</v>
      </c>
    </row>
    <row r="11" spans="2:7" x14ac:dyDescent="0.25">
      <c r="B11" s="5" t="s">
        <v>158</v>
      </c>
      <c r="C11" s="8">
        <v>2</v>
      </c>
      <c r="D11" s="8" t="s">
        <v>12</v>
      </c>
      <c r="E11" s="8">
        <v>0.06</v>
      </c>
      <c r="F11" s="8">
        <f>0.06*2</f>
        <v>0.12</v>
      </c>
      <c r="G11" s="8">
        <f>0.12/1.133</f>
        <v>0.10591350397175639</v>
      </c>
    </row>
    <row r="12" spans="2:7" x14ac:dyDescent="0.25">
      <c r="B12" s="5" t="s">
        <v>159</v>
      </c>
      <c r="C12" s="8">
        <v>1</v>
      </c>
      <c r="D12" s="8" t="s">
        <v>29</v>
      </c>
      <c r="E12" s="8">
        <v>3.0000000000000001E-3</v>
      </c>
      <c r="F12" s="8">
        <f>0.003*1</f>
        <v>3.0000000000000001E-3</v>
      </c>
      <c r="G12" s="8">
        <f>0.003/1.133</f>
        <v>2.6478375992939102E-3</v>
      </c>
    </row>
    <row r="13" spans="2:7" x14ac:dyDescent="0.25">
      <c r="B13" s="5" t="s">
        <v>160</v>
      </c>
      <c r="C13" s="8">
        <v>1</v>
      </c>
      <c r="D13" s="8" t="s">
        <v>29</v>
      </c>
      <c r="E13" s="8">
        <v>3.0000000000000001E-3</v>
      </c>
      <c r="F13" s="8">
        <f>0.003*1</f>
        <v>3.0000000000000001E-3</v>
      </c>
      <c r="G13" s="8">
        <f>0.003/1.133</f>
        <v>2.6478375992939102E-3</v>
      </c>
    </row>
    <row r="14" spans="2:7" x14ac:dyDescent="0.25">
      <c r="B14" s="5" t="s">
        <v>161</v>
      </c>
      <c r="C14" s="8">
        <v>1</v>
      </c>
      <c r="D14" s="8" t="s">
        <v>29</v>
      </c>
      <c r="E14" s="8">
        <v>3.0000000000000001E-3</v>
      </c>
      <c r="F14" s="8">
        <f>0.003*1</f>
        <v>3.0000000000000001E-3</v>
      </c>
      <c r="G14" s="8">
        <f>0.003/1.133</f>
        <v>2.6478375992939102E-3</v>
      </c>
    </row>
    <row r="15" spans="2:7" x14ac:dyDescent="0.25">
      <c r="B15" s="5" t="s">
        <v>162</v>
      </c>
      <c r="C15" s="8">
        <v>1</v>
      </c>
      <c r="D15" s="8" t="s">
        <v>29</v>
      </c>
      <c r="E15" s="8">
        <v>3.0000000000000001E-3</v>
      </c>
      <c r="F15" s="8">
        <f>0.003*1</f>
        <v>3.0000000000000001E-3</v>
      </c>
      <c r="G15" s="8">
        <f>0.003/1.133</f>
        <v>2.6478375992939102E-3</v>
      </c>
    </row>
    <row r="16" spans="2:7" x14ac:dyDescent="0.25">
      <c r="B16" s="5" t="s">
        <v>163</v>
      </c>
      <c r="C16" s="8">
        <v>15</v>
      </c>
      <c r="D16" s="8" t="s">
        <v>151</v>
      </c>
      <c r="E16" s="8">
        <v>1.0999999999999999E-2</v>
      </c>
      <c r="F16" s="8">
        <f>0.011*11</f>
        <v>0.121</v>
      </c>
      <c r="G16" s="8">
        <f>0.121/1.133</f>
        <v>0.10679611650485436</v>
      </c>
    </row>
    <row r="17" spans="2:7" x14ac:dyDescent="0.25">
      <c r="B17" s="5" t="s">
        <v>164</v>
      </c>
      <c r="C17" s="8">
        <v>1</v>
      </c>
      <c r="D17" s="8" t="s">
        <v>151</v>
      </c>
      <c r="E17" s="8">
        <v>3.0000000000000001E-3</v>
      </c>
      <c r="F17" s="8">
        <f>0.003*1</f>
        <v>3.0000000000000001E-3</v>
      </c>
      <c r="G17" s="8">
        <f>0.003/1.133</f>
        <v>2.6478375992939102E-3</v>
      </c>
    </row>
    <row r="18" spans="2:7" x14ac:dyDescent="0.25">
      <c r="B18" s="5" t="s">
        <v>165</v>
      </c>
      <c r="C18" s="8">
        <v>4</v>
      </c>
      <c r="D18" s="8" t="s">
        <v>29</v>
      </c>
      <c r="E18" s="8">
        <v>0.32500000000000001</v>
      </c>
      <c r="F18" s="8">
        <f>0.325*4</f>
        <v>1.3</v>
      </c>
      <c r="G18" s="8">
        <f>1.3/1.133</f>
        <v>1.1473962930273611</v>
      </c>
    </row>
    <row r="19" spans="2:7" x14ac:dyDescent="0.25">
      <c r="B19" s="5" t="s">
        <v>166</v>
      </c>
      <c r="C19" s="8">
        <v>1</v>
      </c>
      <c r="D19" s="8" t="s">
        <v>151</v>
      </c>
      <c r="E19" s="8">
        <v>3.0000000000000001E-3</v>
      </c>
      <c r="F19" s="8">
        <f>0.003*1</f>
        <v>3.0000000000000001E-3</v>
      </c>
      <c r="G19" s="8">
        <f>0.003/1.133</f>
        <v>2.6478375992939102E-3</v>
      </c>
    </row>
    <row r="20" spans="2:7" x14ac:dyDescent="0.25">
      <c r="G20" s="3">
        <f>SUM(G3:G19)</f>
        <v>67.925860547219784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KUC Banaba Church</vt:lpstr>
      <vt:lpstr>CM Terikiai Maneaba</vt:lpstr>
      <vt:lpstr>KUC Tekatana Seawall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Sally Rimon</dc:creator>
  <cp:lastModifiedBy>Sally Rimon</cp:lastModifiedBy>
  <dcterms:created xsi:type="dcterms:W3CDTF">2024-07-30T22:58:22Z</dcterms:created>
  <dcterms:modified xsi:type="dcterms:W3CDTF">2025-01-29T02:22:34Z</dcterms:modified>
</cp:coreProperties>
</file>